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березень" sheetId="1" r:id="rId1"/>
    <sheet name="лютий" sheetId="2" r:id="rId2"/>
    <sheet name="січень" sheetId="3" r:id="rId3"/>
  </sheets>
  <definedNames/>
  <calcPr fullCalcOnLoad="1"/>
</workbook>
</file>

<file path=xl/sharedStrings.xml><?xml version="1.0" encoding="utf-8"?>
<sst xmlns="http://schemas.openxmlformats.org/spreadsheetml/2006/main" count="461" uniqueCount="164">
  <si>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</si>
  <si>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</si>
  <si>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</si>
  <si>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</si>
  <si>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</si>
  <si>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</si>
  <si>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</si>
  <si>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</si>
  <si>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</si>
  <si>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</si>
  <si>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</si>
  <si>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</si>
  <si>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</si>
  <si>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</si>
  <si>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</si>
  <si>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</si>
  <si>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</si>
  <si>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</si>
  <si>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</si>
  <si>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</si>
  <si>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</si>
  <si>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</si>
  <si>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</si>
  <si>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</si>
  <si>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</si>
  <si>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</si>
  <si>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</si>
  <si>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</si>
  <si>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</si>
  <si>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</si>
  <si>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</si>
  <si>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</si>
  <si>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</si>
  <si>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</si>
  <si>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</si>
  <si>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</si>
  <si>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</si>
  <si>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</si>
  <si>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</si>
  <si>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</si>
  <si>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</si>
  <si>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</si>
  <si>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</si>
  <si>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</si>
  <si>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</si>
  <si>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</si>
  <si>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</si>
  <si>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</si>
  <si>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</si>
  <si>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</si>
  <si>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</si>
  <si>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</si>
  <si>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</si>
  <si>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</si>
  <si>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</si>
  <si>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</si>
  <si>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</si>
  <si>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</si>
  <si>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</si>
  <si>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</si>
  <si>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</si>
  <si>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</si>
  <si>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</si>
  <si>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</si>
  <si>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</si>
  <si>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</si>
  <si>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</si>
  <si>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</si>
  <si>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</si>
  <si>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</si>
  <si>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</si>
  <si>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</si>
  <si>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</si>
  <si>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</si>
  <si>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</si>
  <si>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</si>
  <si>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</si>
  <si>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</si>
  <si>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</si>
  <si>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</si>
  <si>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</si>
  <si>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</si>
  <si>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</si>
  <si>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</si>
  <si>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</si>
  <si>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</si>
  <si>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</si>
  <si>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</si>
  <si>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</si>
  <si>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</si>
  <si>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</si>
  <si>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</si>
  <si>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</si>
  <si>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</si>
  <si>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</si>
  <si>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</si>
  <si>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</si>
  <si>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</si>
  <si>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</si>
  <si>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</si>
  <si>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</si>
  <si>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</si>
  <si>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</si>
  <si>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</si>
  <si>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</si>
  <si>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</si>
  <si>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</si>
  <si>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</si>
  <si>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</si>
  <si>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</si>
  <si>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</si>
  <si>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</si>
  <si>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</si>
  <si>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</si>
  <si>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</si>
  <si>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</si>
  <si>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</si>
  <si>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</si>
  <si>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</si>
  <si>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</si>
  <si>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</si>
  <si>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</si>
  <si>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</si>
  <si>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</si>
  <si>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</si>
  <si>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</si>
  <si>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</si>
  <si>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</si>
  <si>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</si>
  <si>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</si>
  <si>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</si>
  <si>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</si>
  <si>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</si>
  <si>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</si>
  <si>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</si>
  <si>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</si>
  <si>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</si>
  <si>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</si>
  <si>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</si>
  <si>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</si>
  <si>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</si>
  <si>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</si>
  <si>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</si>
  <si>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</si>
  <si>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</si>
  <si>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</si>
  <si>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</si>
  <si>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</si>
  <si>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</si>
  <si>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</si>
  <si>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</si>
  <si>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</si>
  <si>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</si>
  <si>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</si>
  <si>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</si>
  <si>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</si>
  <si>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</si>
  <si>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</si>
  <si>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</si>
  <si>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</si>
  <si>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</si>
  <si>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</si>
  <si>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13.03.2018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</si>
  <si>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12.03.18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</si>
</sst>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2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5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4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1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0" fontId="6" fillId="0" borderId="0" xfId="55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Border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0" fontId="7" fillId="41" borderId="10" xfId="0" applyFont="1" applyFill="1" applyBorder="1" applyAlignment="1">
      <alignment wrapText="1"/>
    </xf>
    <xf numFmtId="0" fontId="12" fillId="0" borderId="0" xfId="55" applyFont="1" applyAlignment="1" applyProtection="1">
      <alignment horizontal="center"/>
      <protection/>
    </xf>
    <xf numFmtId="0" fontId="80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3" fillId="13" borderId="18" xfId="55" applyFont="1" applyFill="1" applyBorder="1" applyAlignment="1" applyProtection="1">
      <alignment horizontal="center" vertical="center" wrapText="1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23" fillId="0" borderId="21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35" fillId="37" borderId="21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1" fillId="0" borderId="0" xfId="55" applyFont="1" applyAlignment="1" applyProtection="1">
      <alignment horizontal="center"/>
      <protection/>
    </xf>
    <xf numFmtId="0" fontId="41" fillId="0" borderId="0" xfId="55" applyFont="1" applyBorder="1" applyAlignment="1" applyProtection="1">
      <alignment horizontal="center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0" fontId="35" fillId="0" borderId="21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09"/>
  <sheetViews>
    <sheetView tabSelected="1" zoomScale="78" zoomScaleNormal="78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E109" sqref="E10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276" t="s">
        <v>162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186"/>
    </row>
    <row r="2" spans="2:25" s="1" customFormat="1" ht="15.75" customHeight="1">
      <c r="B2" s="277"/>
      <c r="C2" s="277"/>
      <c r="D2" s="277"/>
      <c r="E2" s="277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278"/>
      <c r="B3" s="280"/>
      <c r="C3" s="281" t="s">
        <v>0</v>
      </c>
      <c r="D3" s="282" t="s">
        <v>131</v>
      </c>
      <c r="E3" s="282" t="s">
        <v>131</v>
      </c>
      <c r="F3" s="25"/>
      <c r="G3" s="283" t="s">
        <v>26</v>
      </c>
      <c r="H3" s="284"/>
      <c r="I3" s="284"/>
      <c r="J3" s="284"/>
      <c r="K3" s="285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286" t="s">
        <v>160</v>
      </c>
      <c r="V3" s="289" t="s">
        <v>161</v>
      </c>
      <c r="W3" s="289"/>
      <c r="X3" s="289"/>
      <c r="Y3" s="194"/>
    </row>
    <row r="4" spans="1:24" ht="22.5" customHeight="1">
      <c r="A4" s="278"/>
      <c r="B4" s="280"/>
      <c r="C4" s="281"/>
      <c r="D4" s="282"/>
      <c r="E4" s="282"/>
      <c r="F4" s="290" t="s">
        <v>156</v>
      </c>
      <c r="G4" s="292" t="s">
        <v>31</v>
      </c>
      <c r="H4" s="294" t="s">
        <v>157</v>
      </c>
      <c r="I4" s="287" t="s">
        <v>158</v>
      </c>
      <c r="J4" s="294" t="s">
        <v>132</v>
      </c>
      <c r="K4" s="287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87"/>
      <c r="V4" s="296" t="s">
        <v>163</v>
      </c>
      <c r="W4" s="294" t="s">
        <v>44</v>
      </c>
      <c r="X4" s="298" t="s">
        <v>43</v>
      </c>
    </row>
    <row r="5" spans="1:24" ht="67.5" customHeight="1">
      <c r="A5" s="279"/>
      <c r="B5" s="280"/>
      <c r="C5" s="281"/>
      <c r="D5" s="282"/>
      <c r="E5" s="282"/>
      <c r="F5" s="291"/>
      <c r="G5" s="293"/>
      <c r="H5" s="295"/>
      <c r="I5" s="288"/>
      <c r="J5" s="295"/>
      <c r="K5" s="288"/>
      <c r="L5" s="299" t="s">
        <v>135</v>
      </c>
      <c r="M5" s="300"/>
      <c r="N5" s="301"/>
      <c r="O5" s="302" t="s">
        <v>153</v>
      </c>
      <c r="P5" s="303"/>
      <c r="Q5" s="304"/>
      <c r="R5" s="305" t="s">
        <v>159</v>
      </c>
      <c r="S5" s="305"/>
      <c r="T5" s="305"/>
      <c r="U5" s="288"/>
      <c r="V5" s="297"/>
      <c r="W5" s="295"/>
      <c r="X5" s="29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273166.61</v>
      </c>
      <c r="H8" s="103">
        <f>G8-F8</f>
        <v>-88376.32900000003</v>
      </c>
      <c r="I8" s="210">
        <f aca="true" t="shared" si="0" ref="I8:I15">G8/F8</f>
        <v>0.7555578619667082</v>
      </c>
      <c r="J8" s="104">
        <f aca="true" t="shared" si="1" ref="J8:J52">G8-E8</f>
        <v>-1307467.19</v>
      </c>
      <c r="K8" s="156">
        <f aca="true" t="shared" si="2" ref="K8:K14">G8/E8</f>
        <v>0.1728209342353681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293545.77</v>
      </c>
      <c r="S8" s="103">
        <f aca="true" t="shared" si="5" ref="S8:S78">G8-R8</f>
        <v>-20379.160000000033</v>
      </c>
      <c r="T8" s="143">
        <f aca="true" t="shared" si="6" ref="T8:T20">G8/R8</f>
        <v>0.930575868969258</v>
      </c>
      <c r="U8" s="103">
        <f>U9+U15+U18+U19+U23+U17</f>
        <v>119781.5</v>
      </c>
      <c r="V8" s="103">
        <f>V9+V15+V18+V19+V23+V17</f>
        <v>31274.689999999995</v>
      </c>
      <c r="W8" s="103">
        <f>V8-U8</f>
        <v>-88506.81</v>
      </c>
      <c r="X8" s="143">
        <f aca="true" t="shared" si="7" ref="X8:X15">V8/U8</f>
        <v>0.261097832302985</v>
      </c>
      <c r="Y8" s="199">
        <f aca="true" t="shared" si="8" ref="Y8:Y22">T8-Q8</f>
        <v>-0.258240542561873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209196.339</v>
      </c>
      <c r="G9" s="106">
        <v>164855.59</v>
      </c>
      <c r="H9" s="102">
        <f>G9-F9</f>
        <v>-44340.74900000001</v>
      </c>
      <c r="I9" s="208">
        <f t="shared" si="0"/>
        <v>0.7880424236296028</v>
      </c>
      <c r="J9" s="108">
        <f t="shared" si="1"/>
        <v>-791347.41</v>
      </c>
      <c r="K9" s="148">
        <f t="shared" si="2"/>
        <v>0.17240647644903853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162187.36</v>
      </c>
      <c r="S9" s="109">
        <f t="shared" si="5"/>
        <v>2668.2300000000105</v>
      </c>
      <c r="T9" s="144">
        <f t="shared" si="6"/>
        <v>1.0164515286518012</v>
      </c>
      <c r="U9" s="107">
        <f>F9-лютий!F9</f>
        <v>70204</v>
      </c>
      <c r="V9" s="110">
        <f>G9-лютий!G9</f>
        <v>24776.72</v>
      </c>
      <c r="W9" s="111">
        <f>V9-U9</f>
        <v>-45427.28</v>
      </c>
      <c r="X9" s="148">
        <f t="shared" si="7"/>
        <v>0.35292461967979033</v>
      </c>
      <c r="Y9" s="200">
        <f t="shared" si="8"/>
        <v>-0.2160518632353563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v>192878.7</v>
      </c>
      <c r="G10" s="94">
        <v>151651.36</v>
      </c>
      <c r="H10" s="71">
        <f aca="true" t="shared" si="9" ref="H10:H47">G10-F10</f>
        <v>-41227.340000000026</v>
      </c>
      <c r="I10" s="209">
        <f t="shared" si="0"/>
        <v>0.7862524996280045</v>
      </c>
      <c r="J10" s="72">
        <f t="shared" si="1"/>
        <v>-730151.64</v>
      </c>
      <c r="K10" s="75">
        <f t="shared" si="2"/>
        <v>0.1719787299430825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148315.37</v>
      </c>
      <c r="S10" s="74">
        <f t="shared" si="5"/>
        <v>3335.9899999999907</v>
      </c>
      <c r="T10" s="145">
        <f t="shared" si="6"/>
        <v>1.0224925440970818</v>
      </c>
      <c r="U10" s="73">
        <f>F10-лютий!F10</f>
        <v>65100.000000000015</v>
      </c>
      <c r="V10" s="98">
        <f>G10-лютий!G10</f>
        <v>23861.90999999999</v>
      </c>
      <c r="W10" s="74">
        <f aca="true" t="shared" si="10" ref="W10:W52">V10-U10</f>
        <v>-41238.090000000026</v>
      </c>
      <c r="X10" s="75">
        <f t="shared" si="7"/>
        <v>0.3665423963133638</v>
      </c>
      <c r="Y10" s="198">
        <f t="shared" si="8"/>
        <v>-0.21965890052590908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10754.7</v>
      </c>
      <c r="G11" s="94">
        <v>8114.86</v>
      </c>
      <c r="H11" s="71">
        <f t="shared" si="9"/>
        <v>-2639.840000000001</v>
      </c>
      <c r="I11" s="209">
        <f t="shared" si="0"/>
        <v>0.7545408054153068</v>
      </c>
      <c r="J11" s="72">
        <f t="shared" si="1"/>
        <v>-41785.14</v>
      </c>
      <c r="K11" s="75">
        <f t="shared" si="2"/>
        <v>0.16262244488977956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9104.48</v>
      </c>
      <c r="S11" s="74">
        <f t="shared" si="5"/>
        <v>-989.6199999999999</v>
      </c>
      <c r="T11" s="145">
        <f t="shared" si="6"/>
        <v>0.8913040612972954</v>
      </c>
      <c r="U11" s="73">
        <f>F11-лютий!F11</f>
        <v>3670.000000000001</v>
      </c>
      <c r="V11" s="98">
        <f>G11-лютий!G11</f>
        <v>427.46000000000004</v>
      </c>
      <c r="W11" s="74">
        <f t="shared" si="10"/>
        <v>-3242.540000000001</v>
      </c>
      <c r="X11" s="75">
        <f t="shared" si="7"/>
        <v>0.11647411444141688</v>
      </c>
      <c r="Y11" s="198">
        <f t="shared" si="8"/>
        <v>-0.2823604131962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2294.409</v>
      </c>
      <c r="G12" s="94">
        <v>1943.56</v>
      </c>
      <c r="H12" s="71">
        <f t="shared" si="9"/>
        <v>-350.84900000000016</v>
      </c>
      <c r="I12" s="209">
        <f t="shared" si="0"/>
        <v>0.8470852406872532</v>
      </c>
      <c r="J12" s="72">
        <f t="shared" si="1"/>
        <v>-10056.44</v>
      </c>
      <c r="K12" s="75">
        <f t="shared" si="2"/>
        <v>0.16196333333333332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1764.69</v>
      </c>
      <c r="S12" s="74">
        <f t="shared" si="5"/>
        <v>178.8699999999999</v>
      </c>
      <c r="T12" s="145">
        <f t="shared" si="6"/>
        <v>1.1013605789118768</v>
      </c>
      <c r="U12" s="73">
        <f>F12-лютий!F12</f>
        <v>830</v>
      </c>
      <c r="V12" s="98">
        <f>G12-лютий!G12</f>
        <v>350.6399999999999</v>
      </c>
      <c r="W12" s="74">
        <f t="shared" si="10"/>
        <v>-479.3600000000001</v>
      </c>
      <c r="X12" s="75">
        <f t="shared" si="7"/>
        <v>0.42245783132530107</v>
      </c>
      <c r="Y12" s="198">
        <f t="shared" si="8"/>
        <v>0.1007059840310589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3056.9</v>
      </c>
      <c r="G13" s="94">
        <v>2838.18</v>
      </c>
      <c r="H13" s="71">
        <f t="shared" si="9"/>
        <v>-218.72000000000025</v>
      </c>
      <c r="I13" s="209">
        <f t="shared" si="0"/>
        <v>0.9284503909189047</v>
      </c>
      <c r="J13" s="72">
        <f t="shared" si="1"/>
        <v>-9161.82</v>
      </c>
      <c r="K13" s="75">
        <f t="shared" si="2"/>
        <v>0.23651499999999998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2629.16</v>
      </c>
      <c r="S13" s="74">
        <f t="shared" si="5"/>
        <v>209.01999999999998</v>
      </c>
      <c r="T13" s="145">
        <f t="shared" si="6"/>
        <v>1.079500677022319</v>
      </c>
      <c r="U13" s="73">
        <f>F13-лютий!F13</f>
        <v>571</v>
      </c>
      <c r="V13" s="98">
        <f>G13-лютий!G13</f>
        <v>136.71000000000004</v>
      </c>
      <c r="W13" s="74">
        <f t="shared" si="10"/>
        <v>-434.28999999999996</v>
      </c>
      <c r="X13" s="75">
        <f t="shared" si="7"/>
        <v>0.2394220665499125</v>
      </c>
      <c r="Y13" s="198">
        <f t="shared" si="8"/>
        <v>-0.11609832305838408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211.63</v>
      </c>
      <c r="G14" s="94">
        <v>307.62</v>
      </c>
      <c r="H14" s="71">
        <f t="shared" si="9"/>
        <v>95.99000000000001</v>
      </c>
      <c r="I14" s="209">
        <f t="shared" si="0"/>
        <v>1.4535746349761376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373.67</v>
      </c>
      <c r="S14" s="74">
        <f t="shared" si="5"/>
        <v>-66.05000000000001</v>
      </c>
      <c r="T14" s="145">
        <f t="shared" si="6"/>
        <v>0.8232397570048439</v>
      </c>
      <c r="U14" s="73">
        <f>F14-лютий!F14</f>
        <v>33</v>
      </c>
      <c r="V14" s="98">
        <f>G14-лютий!G14</f>
        <v>0</v>
      </c>
      <c r="W14" s="74">
        <f t="shared" si="10"/>
        <v>-33</v>
      </c>
      <c r="X14" s="75">
        <f t="shared" si="7"/>
        <v>0</v>
      </c>
      <c r="Y14" s="198">
        <f t="shared" si="8"/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60</v>
      </c>
      <c r="G15" s="106">
        <v>337.62</v>
      </c>
      <c r="H15" s="102">
        <f t="shared" si="9"/>
        <v>277.62</v>
      </c>
      <c r="I15" s="208">
        <f t="shared" si="0"/>
        <v>5.627</v>
      </c>
      <c r="J15" s="108">
        <f t="shared" si="1"/>
        <v>-562.38</v>
      </c>
      <c r="K15" s="108">
        <f aca="true" t="shared" si="11" ref="K15:K23">G15/E15*100</f>
        <v>37.513333333333335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-366.42</v>
      </c>
      <c r="S15" s="111">
        <f t="shared" si="5"/>
        <v>704.04</v>
      </c>
      <c r="T15" s="146">
        <f t="shared" si="6"/>
        <v>-0.9214016702145079</v>
      </c>
      <c r="U15" s="107">
        <f>F15-лютий!F15</f>
        <v>50</v>
      </c>
      <c r="V15" s="110">
        <f>G15-лютий!G15</f>
        <v>218.09</v>
      </c>
      <c r="W15" s="111">
        <f t="shared" si="10"/>
        <v>168.09</v>
      </c>
      <c r="X15" s="148">
        <f t="shared" si="7"/>
        <v>4.3618</v>
      </c>
      <c r="Y15" s="197">
        <f t="shared" si="8"/>
        <v>-1.9353605034858772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F16-лютий!F16</f>
        <v>0</v>
      </c>
      <c r="V16" s="110">
        <f>G16-лютий!G16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F17-лютий!F17</f>
        <v>0</v>
      </c>
      <c r="V17" s="110">
        <f>G17-лютий!G17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F18-лютий!F18</f>
        <v>0</v>
      </c>
      <c r="V18" s="110">
        <f>G18-лютий!G18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33615</v>
      </c>
      <c r="G19" s="158">
        <v>9189.94</v>
      </c>
      <c r="H19" s="102">
        <f t="shared" si="9"/>
        <v>-24425.059999999998</v>
      </c>
      <c r="I19" s="208">
        <f t="shared" si="12"/>
        <v>0.27338807080172545</v>
      </c>
      <c r="J19" s="108">
        <f t="shared" si="1"/>
        <v>-142538.06</v>
      </c>
      <c r="K19" s="108">
        <f t="shared" si="11"/>
        <v>6.056851734683118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27633.86</v>
      </c>
      <c r="S19" s="111">
        <f t="shared" si="5"/>
        <v>-18443.92</v>
      </c>
      <c r="T19" s="146">
        <f t="shared" si="6"/>
        <v>0.33256085107183725</v>
      </c>
      <c r="U19" s="107">
        <f>F19-лютий!F19</f>
        <v>24549</v>
      </c>
      <c r="V19" s="110">
        <f>G19-лютий!G19</f>
        <v>661.3700000000008</v>
      </c>
      <c r="W19" s="111">
        <f t="shared" si="10"/>
        <v>-23887.629999999997</v>
      </c>
      <c r="X19" s="148">
        <f t="shared" si="13"/>
        <v>0.02694081225304496</v>
      </c>
      <c r="Y19" s="197">
        <f t="shared" si="8"/>
        <v>-0.9116197624149533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13215</v>
      </c>
      <c r="G20" s="141">
        <v>9189.94</v>
      </c>
      <c r="H20" s="170">
        <f t="shared" si="9"/>
        <v>-4025.0599999999995</v>
      </c>
      <c r="I20" s="211">
        <f t="shared" si="12"/>
        <v>0.6954173287930383</v>
      </c>
      <c r="J20" s="171">
        <f t="shared" si="1"/>
        <v>-57518.06</v>
      </c>
      <c r="K20" s="171">
        <f t="shared" si="11"/>
        <v>13.77636865143611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17734.06</v>
      </c>
      <c r="S20" s="116">
        <f t="shared" si="5"/>
        <v>-8544.12</v>
      </c>
      <c r="T20" s="172">
        <f t="shared" si="6"/>
        <v>0.518208464389993</v>
      </c>
      <c r="U20" s="136">
        <f>F20-лютий!F20</f>
        <v>4149</v>
      </c>
      <c r="V20" s="124">
        <f>G20-лютий!G20</f>
        <v>661.3700000000008</v>
      </c>
      <c r="W20" s="116">
        <f t="shared" si="10"/>
        <v>-3487.629999999999</v>
      </c>
      <c r="X20" s="180">
        <f t="shared" si="13"/>
        <v>0.1594046758255003</v>
      </c>
      <c r="Y20" s="197">
        <f t="shared" si="8"/>
        <v>-0.580110584550141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3900</v>
      </c>
      <c r="G21" s="141">
        <v>0</v>
      </c>
      <c r="H21" s="170">
        <f t="shared" si="9"/>
        <v>-3900</v>
      </c>
      <c r="I21" s="211">
        <f t="shared" si="12"/>
        <v>0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2236.79</v>
      </c>
      <c r="S21" s="116">
        <f t="shared" si="5"/>
        <v>-2236.79</v>
      </c>
      <c r="T21" s="172"/>
      <c r="U21" s="136">
        <f>F21-лютий!F21</f>
        <v>3900</v>
      </c>
      <c r="V21" s="124">
        <f>G21-лютий!G21</f>
        <v>0</v>
      </c>
      <c r="W21" s="116">
        <f t="shared" si="10"/>
        <v>-3900</v>
      </c>
      <c r="X21" s="180">
        <f t="shared" si="13"/>
        <v>0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16500</v>
      </c>
      <c r="G22" s="141">
        <v>0</v>
      </c>
      <c r="H22" s="170">
        <f t="shared" si="9"/>
        <v>-16500</v>
      </c>
      <c r="I22" s="211">
        <f t="shared" si="12"/>
        <v>0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7663.01</v>
      </c>
      <c r="S22" s="116">
        <f t="shared" si="5"/>
        <v>-7663.01</v>
      </c>
      <c r="T22" s="172"/>
      <c r="U22" s="136">
        <f>F22-лютий!F22</f>
        <v>16500</v>
      </c>
      <c r="V22" s="124">
        <f>G22-лютий!G22</f>
        <v>0</v>
      </c>
      <c r="W22" s="116">
        <f t="shared" si="10"/>
        <v>-16500</v>
      </c>
      <c r="X22" s="180">
        <f t="shared" si="13"/>
        <v>0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98589.22</v>
      </c>
      <c r="H23" s="102">
        <f t="shared" si="9"/>
        <v>-19962.380000000005</v>
      </c>
      <c r="I23" s="208">
        <f t="shared" si="12"/>
        <v>0.8316144193751919</v>
      </c>
      <c r="J23" s="108">
        <f t="shared" si="1"/>
        <v>-372977.98</v>
      </c>
      <c r="K23" s="108">
        <f t="shared" si="11"/>
        <v>20.90671700661115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103972.5</v>
      </c>
      <c r="S23" s="111">
        <f t="shared" si="5"/>
        <v>-5383.279999999999</v>
      </c>
      <c r="T23" s="147">
        <f aca="true" t="shared" si="14" ref="T23:T41">G23/R23</f>
        <v>0.9482240015388684</v>
      </c>
      <c r="U23" s="107">
        <f>F23-лютий!F23</f>
        <v>24978.5</v>
      </c>
      <c r="V23" s="110">
        <f>G23-лютий!G23</f>
        <v>5618.509999999995</v>
      </c>
      <c r="W23" s="111">
        <f t="shared" si="10"/>
        <v>-19359.990000000005</v>
      </c>
      <c r="X23" s="148">
        <f t="shared" si="13"/>
        <v>0.22493384310507014</v>
      </c>
      <c r="Y23" s="197">
        <f>T23-Q23</f>
        <v>-0.14664755222582693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35749.81</v>
      </c>
      <c r="H24" s="102">
        <f t="shared" si="9"/>
        <v>-14119.199999999997</v>
      </c>
      <c r="I24" s="208">
        <f t="shared" si="12"/>
        <v>0.7168742672052243</v>
      </c>
      <c r="J24" s="108">
        <f t="shared" si="1"/>
        <v>-181092.19</v>
      </c>
      <c r="K24" s="148">
        <f aca="true" t="shared" si="15" ref="K24:K41">G24/E24</f>
        <v>0.1648657086726741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48563.36</v>
      </c>
      <c r="S24" s="111">
        <f t="shared" si="5"/>
        <v>-12813.550000000003</v>
      </c>
      <c r="T24" s="147">
        <f t="shared" si="14"/>
        <v>0.7361477871382869</v>
      </c>
      <c r="U24" s="107">
        <f>F24-лютий!F24</f>
        <v>16176.499999999993</v>
      </c>
      <c r="V24" s="110">
        <f>G24-лютий!G24</f>
        <v>2841.7899999999936</v>
      </c>
      <c r="W24" s="111">
        <f t="shared" si="10"/>
        <v>-13334.71</v>
      </c>
      <c r="X24" s="148">
        <f t="shared" si="13"/>
        <v>0.17567397150186967</v>
      </c>
      <c r="Y24" s="197">
        <f aca="true" t="shared" si="16" ref="Y24:Y99">T24-Q24</f>
        <v>-0.31023025769409185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6357.5</v>
      </c>
      <c r="G25" s="141">
        <v>5740.64</v>
      </c>
      <c r="H25" s="170">
        <f t="shared" si="9"/>
        <v>-616.8599999999997</v>
      </c>
      <c r="I25" s="211">
        <f t="shared" si="12"/>
        <v>0.9029712937475424</v>
      </c>
      <c r="J25" s="171">
        <f t="shared" si="1"/>
        <v>-23043.36</v>
      </c>
      <c r="K25" s="180">
        <f t="shared" si="15"/>
        <v>0.19943857698721512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5213.94</v>
      </c>
      <c r="S25" s="116">
        <f t="shared" si="5"/>
        <v>526.7000000000007</v>
      </c>
      <c r="T25" s="152">
        <f t="shared" si="14"/>
        <v>1.101017656513117</v>
      </c>
      <c r="U25" s="136">
        <f>F25-лютий!F25</f>
        <v>936.5</v>
      </c>
      <c r="V25" s="124">
        <f>G25-лютий!G25</f>
        <v>188.1199999999999</v>
      </c>
      <c r="W25" s="116">
        <f t="shared" si="10"/>
        <v>-748.3800000000001</v>
      </c>
      <c r="X25" s="180">
        <f t="shared" si="13"/>
        <v>0.20087560064068327</v>
      </c>
      <c r="Y25" s="197">
        <f t="shared" si="16"/>
        <v>-0.03157928944142174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211.61</v>
      </c>
      <c r="G26" s="139">
        <f>G28+G29</f>
        <v>379.15</v>
      </c>
      <c r="H26" s="158">
        <f t="shared" si="9"/>
        <v>167.53999999999996</v>
      </c>
      <c r="I26" s="212">
        <f t="shared" si="12"/>
        <v>1.7917395208165963</v>
      </c>
      <c r="J26" s="176">
        <f t="shared" si="1"/>
        <v>-1142.85</v>
      </c>
      <c r="K26" s="191">
        <f t="shared" si="15"/>
        <v>0.2491130091984231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157.08</v>
      </c>
      <c r="S26" s="201">
        <f t="shared" si="5"/>
        <v>222.06999999999996</v>
      </c>
      <c r="T26" s="162">
        <f t="shared" si="14"/>
        <v>2.4137382225617516</v>
      </c>
      <c r="U26" s="167">
        <f>F26-лютий!F26</f>
        <v>16.5</v>
      </c>
      <c r="V26" s="167">
        <f>G26-лютий!G26</f>
        <v>65.79999999999995</v>
      </c>
      <c r="W26" s="176">
        <f t="shared" si="10"/>
        <v>49.299999999999955</v>
      </c>
      <c r="X26" s="191">
        <f t="shared" si="13"/>
        <v>3.987878787878785</v>
      </c>
      <c r="Y26" s="197">
        <f t="shared" si="16"/>
        <v>1.4077166347397687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5361.48</v>
      </c>
      <c r="H27" s="158">
        <f t="shared" si="9"/>
        <v>-784.4100000000008</v>
      </c>
      <c r="I27" s="212">
        <f t="shared" si="12"/>
        <v>0.8723683632476337</v>
      </c>
      <c r="J27" s="176">
        <f t="shared" si="1"/>
        <v>-21900.52</v>
      </c>
      <c r="K27" s="191">
        <f t="shared" si="15"/>
        <v>0.19666495488225366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5056.87</v>
      </c>
      <c r="S27" s="201">
        <f t="shared" si="5"/>
        <v>304.6099999999997</v>
      </c>
      <c r="T27" s="162">
        <f t="shared" si="14"/>
        <v>1.0602368658873966</v>
      </c>
      <c r="U27" s="167">
        <f>F27-лютий!F27</f>
        <v>920</v>
      </c>
      <c r="V27" s="167">
        <f>G27-лютий!G27</f>
        <v>122.3100000000004</v>
      </c>
      <c r="W27" s="176">
        <f t="shared" si="10"/>
        <v>-797.6899999999996</v>
      </c>
      <c r="X27" s="191">
        <f t="shared" si="13"/>
        <v>0.1329456521739135</v>
      </c>
      <c r="Y27" s="197">
        <f t="shared" si="16"/>
        <v>-0.08037150320413322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67.8</v>
      </c>
      <c r="G28" s="206">
        <v>76.84</v>
      </c>
      <c r="H28" s="218">
        <f t="shared" si="9"/>
        <v>9.040000000000006</v>
      </c>
      <c r="I28" s="220">
        <f t="shared" si="12"/>
        <v>1.1333333333333335</v>
      </c>
      <c r="J28" s="221">
        <f t="shared" si="1"/>
        <v>-239.16</v>
      </c>
      <c r="K28" s="222">
        <f t="shared" si="15"/>
        <v>0.24316455696202532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132.33</v>
      </c>
      <c r="S28" s="221">
        <f t="shared" si="5"/>
        <v>-55.49000000000001</v>
      </c>
      <c r="T28" s="222">
        <f t="shared" si="14"/>
        <v>0.5806695382755233</v>
      </c>
      <c r="U28" s="206">
        <f>F28-лютий!F28</f>
        <v>8.5</v>
      </c>
      <c r="V28" s="206">
        <f>G28-лютий!G28</f>
        <v>2.680000000000007</v>
      </c>
      <c r="W28" s="221">
        <f t="shared" si="10"/>
        <v>-5.819999999999993</v>
      </c>
      <c r="X28" s="222">
        <f t="shared" si="13"/>
        <v>0.3152941176470596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143.81</v>
      </c>
      <c r="G29" s="206">
        <v>302.31</v>
      </c>
      <c r="H29" s="218">
        <f t="shared" si="9"/>
        <v>158.5</v>
      </c>
      <c r="I29" s="220">
        <f t="shared" si="12"/>
        <v>2.1021486683818926</v>
      </c>
      <c r="J29" s="221">
        <f t="shared" si="1"/>
        <v>-903.69</v>
      </c>
      <c r="K29" s="222">
        <f t="shared" si="15"/>
        <v>0.2506716417910448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24.75</v>
      </c>
      <c r="S29" s="221">
        <f t="shared" si="5"/>
        <v>277.56</v>
      </c>
      <c r="T29" s="222">
        <f t="shared" si="14"/>
        <v>12.214545454545455</v>
      </c>
      <c r="U29" s="206">
        <f>F29-лютий!F29</f>
        <v>8</v>
      </c>
      <c r="V29" s="206">
        <f>G29-лютий!G29</f>
        <v>63.120000000000005</v>
      </c>
      <c r="W29" s="221">
        <f t="shared" si="10"/>
        <v>55.120000000000005</v>
      </c>
      <c r="X29" s="222">
        <f t="shared" si="13"/>
        <v>7.890000000000001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320.09</v>
      </c>
      <c r="G30" s="206">
        <v>493.79</v>
      </c>
      <c r="H30" s="218">
        <f t="shared" si="9"/>
        <v>173.70000000000005</v>
      </c>
      <c r="I30" s="220">
        <f t="shared" si="12"/>
        <v>1.5426598769096194</v>
      </c>
      <c r="J30" s="221">
        <f t="shared" si="1"/>
        <v>-1861.21</v>
      </c>
      <c r="K30" s="222">
        <f t="shared" si="15"/>
        <v>0.20967728237791933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65.29</v>
      </c>
      <c r="S30" s="221">
        <f t="shared" si="5"/>
        <v>428.5</v>
      </c>
      <c r="T30" s="222">
        <f t="shared" si="14"/>
        <v>7.563026497166487</v>
      </c>
      <c r="U30" s="206">
        <f>F30-лютий!F30</f>
        <v>20</v>
      </c>
      <c r="V30" s="206">
        <f>G30-лютий!G30</f>
        <v>27.850000000000023</v>
      </c>
      <c r="W30" s="221">
        <f t="shared" si="10"/>
        <v>7.850000000000023</v>
      </c>
      <c r="X30" s="222">
        <f t="shared" si="13"/>
        <v>1.3925000000000012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5825.8</v>
      </c>
      <c r="G31" s="206">
        <v>4867.69</v>
      </c>
      <c r="H31" s="218">
        <f t="shared" si="9"/>
        <v>-958.1100000000006</v>
      </c>
      <c r="I31" s="220">
        <f t="shared" si="12"/>
        <v>0.835540183322462</v>
      </c>
      <c r="J31" s="221">
        <f t="shared" si="1"/>
        <v>-20039.31</v>
      </c>
      <c r="K31" s="222">
        <f t="shared" si="15"/>
        <v>0.19543461677440074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4991.58</v>
      </c>
      <c r="S31" s="221">
        <f t="shared" si="5"/>
        <v>-123.89000000000033</v>
      </c>
      <c r="T31" s="222">
        <f t="shared" si="14"/>
        <v>0.975180203462631</v>
      </c>
      <c r="U31" s="206">
        <f>F31-лютий!F31</f>
        <v>900</v>
      </c>
      <c r="V31" s="206">
        <f>G31-лютий!G31</f>
        <v>94.46000000000004</v>
      </c>
      <c r="W31" s="221"/>
      <c r="X31" s="222">
        <f t="shared" si="13"/>
        <v>0.1049555555555556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160.03</v>
      </c>
      <c r="G32" s="120">
        <v>291.47</v>
      </c>
      <c r="H32" s="170">
        <f t="shared" si="9"/>
        <v>131.44000000000003</v>
      </c>
      <c r="I32" s="211">
        <f t="shared" si="12"/>
        <v>1.8213459976254454</v>
      </c>
      <c r="J32" s="171">
        <f t="shared" si="1"/>
        <v>9.470000000000027</v>
      </c>
      <c r="K32" s="180">
        <f t="shared" si="15"/>
        <v>1.033581560283688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31.25</v>
      </c>
      <c r="S32" s="121">
        <f t="shared" si="5"/>
        <v>260.22</v>
      </c>
      <c r="T32" s="150">
        <f t="shared" si="14"/>
        <v>9.32704</v>
      </c>
      <c r="U32" s="136">
        <f>F32-лютий!F32</f>
        <v>1</v>
      </c>
      <c r="V32" s="124">
        <f>G32-лютий!G32</f>
        <v>25.650000000000034</v>
      </c>
      <c r="W32" s="116">
        <f t="shared" si="10"/>
        <v>24.650000000000034</v>
      </c>
      <c r="X32" s="180">
        <f t="shared" si="13"/>
        <v>25.650000000000034</v>
      </c>
      <c r="Y32" s="198">
        <f t="shared" si="16"/>
        <v>8.890006866069491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86.49</v>
      </c>
      <c r="H33" s="71">
        <f t="shared" si="9"/>
        <v>58.63999999999999</v>
      </c>
      <c r="I33" s="209">
        <f t="shared" si="12"/>
        <v>3.10556552962298</v>
      </c>
      <c r="J33" s="72">
        <f t="shared" si="1"/>
        <v>-13.510000000000005</v>
      </c>
      <c r="K33" s="75">
        <f t="shared" si="15"/>
        <v>0.8649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-50</v>
      </c>
      <c r="S33" s="72">
        <f t="shared" si="5"/>
        <v>136.49</v>
      </c>
      <c r="T33" s="75">
        <f t="shared" si="14"/>
        <v>-1.7298</v>
      </c>
      <c r="U33" s="73">
        <f>F33-лютий!F33</f>
        <v>0</v>
      </c>
      <c r="V33" s="98">
        <f>G33-лютий!G33</f>
        <v>25.64999999999999</v>
      </c>
      <c r="W33" s="74">
        <f t="shared" si="10"/>
        <v>25.64999999999999</v>
      </c>
      <c r="X33" s="75" t="e">
        <f t="shared" si="13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132.18</v>
      </c>
      <c r="G34" s="94">
        <v>204.98</v>
      </c>
      <c r="H34" s="71">
        <f t="shared" si="9"/>
        <v>72.79999999999998</v>
      </c>
      <c r="I34" s="209">
        <f t="shared" si="12"/>
        <v>1.5507641095475864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81.25</v>
      </c>
      <c r="S34" s="72">
        <f t="shared" si="5"/>
        <v>123.72999999999999</v>
      </c>
      <c r="T34" s="75">
        <f t="shared" si="14"/>
        <v>2.522830769230769</v>
      </c>
      <c r="U34" s="73">
        <f>F34-лютий!F34</f>
        <v>1</v>
      </c>
      <c r="V34" s="98">
        <f>G34-лютий!G34</f>
        <v>0</v>
      </c>
      <c r="W34" s="74"/>
      <c r="X34" s="75">
        <f t="shared" si="13"/>
        <v>0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43351.479999999996</v>
      </c>
      <c r="G35" s="120">
        <v>29717.7</v>
      </c>
      <c r="H35" s="102">
        <f t="shared" si="9"/>
        <v>-13633.779999999995</v>
      </c>
      <c r="I35" s="211">
        <f t="shared" si="12"/>
        <v>0.6855060080993776</v>
      </c>
      <c r="J35" s="171">
        <f t="shared" si="1"/>
        <v>-158058.3</v>
      </c>
      <c r="K35" s="180">
        <f t="shared" si="15"/>
        <v>0.1582614391615542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43318.17</v>
      </c>
      <c r="S35" s="122">
        <f t="shared" si="5"/>
        <v>-13600.469999999998</v>
      </c>
      <c r="T35" s="149">
        <f t="shared" si="14"/>
        <v>0.6860331357488094</v>
      </c>
      <c r="U35" s="136">
        <f>F35-лютий!F35</f>
        <v>15238.999999999996</v>
      </c>
      <c r="V35" s="124">
        <f>G35-лютий!G35</f>
        <v>2628.0200000000004</v>
      </c>
      <c r="W35" s="116">
        <f t="shared" si="10"/>
        <v>-12610.979999999996</v>
      </c>
      <c r="X35" s="180">
        <f t="shared" si="13"/>
        <v>0.1724535730690991</v>
      </c>
      <c r="Y35" s="198">
        <f t="shared" si="16"/>
        <v>-0.3504206441784099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7" ref="E36:G37">E38+E40</f>
        <v>60690</v>
      </c>
      <c r="F36" s="139">
        <f t="shared" si="17"/>
        <v>14365.23</v>
      </c>
      <c r="G36" s="139">
        <v>4326.71</v>
      </c>
      <c r="H36" s="158">
        <f t="shared" si="9"/>
        <v>-10038.52</v>
      </c>
      <c r="I36" s="212">
        <f t="shared" si="12"/>
        <v>0.30119322837156104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14435.439999999999</v>
      </c>
      <c r="S36" s="140">
        <f t="shared" si="5"/>
        <v>-10108.73</v>
      </c>
      <c r="T36" s="162">
        <f t="shared" si="14"/>
        <v>0.2997283075541861</v>
      </c>
      <c r="U36" s="167">
        <f>F36-лютий!F36</f>
        <v>5139</v>
      </c>
      <c r="V36" s="167">
        <f>G36-лютий!G36</f>
        <v>0</v>
      </c>
      <c r="W36" s="176">
        <f t="shared" si="10"/>
        <v>-5139</v>
      </c>
      <c r="X36" s="191">
        <f aca="true" t="shared" si="18" ref="X36:X41">V36/U36*100</f>
        <v>0</v>
      </c>
      <c r="Y36" s="197">
        <f t="shared" si="16"/>
        <v>-0.7357838384282862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7"/>
        <v>127086</v>
      </c>
      <c r="F37" s="139">
        <f t="shared" si="17"/>
        <v>28986.25</v>
      </c>
      <c r="G37" s="139">
        <f t="shared" si="17"/>
        <v>20578.920000000002</v>
      </c>
      <c r="H37" s="158">
        <f t="shared" si="9"/>
        <v>-8407.329999999998</v>
      </c>
      <c r="I37" s="212">
        <f t="shared" si="12"/>
        <v>0.7099545474147225</v>
      </c>
      <c r="J37" s="176">
        <f t="shared" si="1"/>
        <v>-106507.08</v>
      </c>
      <c r="K37" s="191">
        <f t="shared" si="15"/>
        <v>0.16192908738964168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28882.730000000003</v>
      </c>
      <c r="S37" s="140">
        <f t="shared" si="5"/>
        <v>-8303.810000000001</v>
      </c>
      <c r="T37" s="162">
        <f t="shared" si="14"/>
        <v>0.7124991301030061</v>
      </c>
      <c r="U37" s="167">
        <f>F37-січень!F37</f>
        <v>19700</v>
      </c>
      <c r="V37" s="167">
        <f>G37-лютий!G37</f>
        <v>1609.260000000002</v>
      </c>
      <c r="W37" s="176">
        <f t="shared" si="10"/>
        <v>-18090.739999999998</v>
      </c>
      <c r="X37" s="191">
        <f>V37/U37</f>
        <v>0.08168832487309655</v>
      </c>
      <c r="Y37" s="197">
        <f t="shared" si="16"/>
        <v>-0.32440493216117106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13784.4</v>
      </c>
      <c r="G38" s="206">
        <v>8967.73</v>
      </c>
      <c r="H38" s="218">
        <f t="shared" si="9"/>
        <v>-4816.67</v>
      </c>
      <c r="I38" s="220">
        <f t="shared" si="12"/>
        <v>0.6505709352601491</v>
      </c>
      <c r="J38" s="221">
        <f t="shared" si="1"/>
        <v>-48322.270000000004</v>
      </c>
      <c r="K38" s="222">
        <f t="shared" si="15"/>
        <v>0.15653220457322395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14138.14</v>
      </c>
      <c r="S38" s="221">
        <f t="shared" si="5"/>
        <v>-5170.41</v>
      </c>
      <c r="T38" s="222">
        <f t="shared" si="14"/>
        <v>0.6342934784915131</v>
      </c>
      <c r="U38" s="206">
        <f>F38-лютий!F38</f>
        <v>4900</v>
      </c>
      <c r="V38" s="206">
        <f>G38-лютий!G38</f>
        <v>1012.9199999999992</v>
      </c>
      <c r="W38" s="221">
        <f t="shared" si="10"/>
        <v>-3887.080000000001</v>
      </c>
      <c r="X38" s="222">
        <f t="shared" si="18"/>
        <v>20.671836734693862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24393.45</v>
      </c>
      <c r="G39" s="206">
        <v>17169.99</v>
      </c>
      <c r="H39" s="218">
        <f t="shared" si="9"/>
        <v>-7223.459999999999</v>
      </c>
      <c r="I39" s="220">
        <f t="shared" si="12"/>
        <v>0.7038770653597585</v>
      </c>
      <c r="J39" s="221">
        <f t="shared" si="1"/>
        <v>-88816.01</v>
      </c>
      <c r="K39" s="222">
        <f t="shared" si="15"/>
        <v>0.16200243428377334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24172.4</v>
      </c>
      <c r="S39" s="221">
        <f t="shared" si="5"/>
        <v>-7002.41</v>
      </c>
      <c r="T39" s="222">
        <f t="shared" si="14"/>
        <v>0.7103138289950522</v>
      </c>
      <c r="U39" s="206">
        <f>F39-лютий!F39</f>
        <v>8600</v>
      </c>
      <c r="V39" s="206">
        <f>G39-лютий!G39</f>
        <v>1310.5700000000015</v>
      </c>
      <c r="W39" s="221">
        <f t="shared" si="10"/>
        <v>-7289.4299999999985</v>
      </c>
      <c r="X39" s="222">
        <f t="shared" si="18"/>
        <v>15.239186046511646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580.83</v>
      </c>
      <c r="G40" s="206">
        <v>171.05</v>
      </c>
      <c r="H40" s="218">
        <f t="shared" si="9"/>
        <v>-409.78000000000003</v>
      </c>
      <c r="I40" s="220">
        <f t="shared" si="12"/>
        <v>0.2944923643751184</v>
      </c>
      <c r="J40" s="221">
        <f t="shared" si="1"/>
        <v>-3228.95</v>
      </c>
      <c r="K40" s="222">
        <f t="shared" si="15"/>
        <v>0.05030882352941177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297.3</v>
      </c>
      <c r="S40" s="221">
        <f t="shared" si="5"/>
        <v>-126.25</v>
      </c>
      <c r="T40" s="222">
        <f t="shared" si="14"/>
        <v>0.5753447695930037</v>
      </c>
      <c r="U40" s="206">
        <f>F40-лютий!F40</f>
        <v>239.00000000000006</v>
      </c>
      <c r="V40" s="206">
        <f>G40-лютий!G40</f>
        <v>5.840000000000003</v>
      </c>
      <c r="W40" s="221">
        <f t="shared" si="10"/>
        <v>-233.16000000000005</v>
      </c>
      <c r="X40" s="222">
        <f t="shared" si="18"/>
        <v>2.4435146443514655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4592.8</v>
      </c>
      <c r="G41" s="206">
        <v>3408.93</v>
      </c>
      <c r="H41" s="218">
        <f t="shared" si="9"/>
        <v>-1183.8700000000003</v>
      </c>
      <c r="I41" s="220">
        <f t="shared" si="12"/>
        <v>0.7422334959066365</v>
      </c>
      <c r="J41" s="221">
        <f t="shared" si="1"/>
        <v>-17691.07</v>
      </c>
      <c r="K41" s="222">
        <f t="shared" si="15"/>
        <v>0.161560663507109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4710.33</v>
      </c>
      <c r="S41" s="221">
        <f t="shared" si="5"/>
        <v>-1301.4</v>
      </c>
      <c r="T41" s="222">
        <f t="shared" si="14"/>
        <v>0.7237136251600206</v>
      </c>
      <c r="U41" s="206">
        <f>F41-лютий!F41</f>
        <v>1500</v>
      </c>
      <c r="V41" s="206">
        <f>G41-лютий!G41</f>
        <v>298.69000000000005</v>
      </c>
      <c r="W41" s="221">
        <f t="shared" si="10"/>
        <v>-1201.31</v>
      </c>
      <c r="X41" s="222">
        <f t="shared" si="18"/>
        <v>19.91266666666667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F42-лютий!F42</f>
        <v>0</v>
      </c>
      <c r="V42" s="110">
        <f>G42-лютий!G42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33.43</v>
      </c>
      <c r="G43" s="106">
        <v>42.13</v>
      </c>
      <c r="H43" s="102">
        <f t="shared" si="9"/>
        <v>8.700000000000003</v>
      </c>
      <c r="I43" s="208">
        <f>G43/F43</f>
        <v>1.2602452886628777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37.2</v>
      </c>
      <c r="S43" s="108">
        <f t="shared" si="5"/>
        <v>4.93</v>
      </c>
      <c r="T43" s="148">
        <f aca="true" t="shared" si="19" ref="T43:T51">G43/R43</f>
        <v>1.1325268817204301</v>
      </c>
      <c r="U43" s="107">
        <f>F43-лютий!F43</f>
        <v>1</v>
      </c>
      <c r="V43" s="110">
        <f>G43-лютий!G43</f>
        <v>0</v>
      </c>
      <c r="W43" s="111">
        <f t="shared" si="10"/>
        <v>-1</v>
      </c>
      <c r="X43" s="148">
        <f>V43/U43</f>
        <v>0</v>
      </c>
      <c r="Y43" s="197">
        <f t="shared" si="16"/>
        <v>0.020423833639828137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25.9</v>
      </c>
      <c r="G44" s="94">
        <v>33.8</v>
      </c>
      <c r="H44" s="71">
        <f t="shared" si="9"/>
        <v>7.899999999999999</v>
      </c>
      <c r="I44" s="209">
        <f>G44/F44</f>
        <v>1.305019305019305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22.86</v>
      </c>
      <c r="S44" s="72">
        <f t="shared" si="5"/>
        <v>10.939999999999998</v>
      </c>
      <c r="T44" s="75">
        <f t="shared" si="19"/>
        <v>1.478565179352581</v>
      </c>
      <c r="U44" s="73">
        <f>F44-лютий!F44</f>
        <v>1</v>
      </c>
      <c r="V44" s="98">
        <f>G44-лютий!G44</f>
        <v>0</v>
      </c>
      <c r="W44" s="74">
        <f t="shared" si="10"/>
        <v>-1</v>
      </c>
      <c r="X44" s="75">
        <f>V44/U44</f>
        <v>0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19"/>
        <v>0.5808926080892608</v>
      </c>
      <c r="U45" s="73">
        <f>F45-лютий!F45</f>
        <v>0</v>
      </c>
      <c r="V45" s="98">
        <f>G45-лютий!G45</f>
        <v>0</v>
      </c>
      <c r="W45" s="74">
        <f t="shared" si="10"/>
        <v>0</v>
      </c>
      <c r="X45" s="75" t="e">
        <f>V45/U45</f>
        <v>#DIV/0!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-1.76</v>
      </c>
      <c r="H46" s="102">
        <f t="shared" si="9"/>
        <v>-1.76</v>
      </c>
      <c r="I46" s="208"/>
      <c r="J46" s="108">
        <f t="shared" si="1"/>
        <v>-1.76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-24.87</v>
      </c>
      <c r="S46" s="108">
        <f t="shared" si="5"/>
        <v>23.11</v>
      </c>
      <c r="T46" s="148">
        <f t="shared" si="19"/>
        <v>0.07076799356654603</v>
      </c>
      <c r="U46" s="107">
        <f>F46-лютий!F46</f>
        <v>0</v>
      </c>
      <c r="V46" s="110">
        <f>G46-лютий!G46</f>
        <v>0.5799999999999998</v>
      </c>
      <c r="W46" s="111">
        <f t="shared" si="10"/>
        <v>0.5799999999999998</v>
      </c>
      <c r="X46" s="148"/>
      <c r="Y46" s="197">
        <f t="shared" si="16"/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62799.04</v>
      </c>
      <c r="H47" s="102">
        <f t="shared" si="9"/>
        <v>-5850.120000000003</v>
      </c>
      <c r="I47" s="208">
        <f>G47/F47</f>
        <v>0.9147823513062651</v>
      </c>
      <c r="J47" s="108">
        <f t="shared" si="1"/>
        <v>-191751.75999999998</v>
      </c>
      <c r="K47" s="148">
        <f>G47/E47</f>
        <v>0.24670533347371135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55396.62</v>
      </c>
      <c r="S47" s="123">
        <f t="shared" si="5"/>
        <v>7402.419999999998</v>
      </c>
      <c r="T47" s="160">
        <f t="shared" si="19"/>
        <v>1.1336258421542686</v>
      </c>
      <c r="U47" s="107">
        <f>F47-лютий!F47</f>
        <v>8801</v>
      </c>
      <c r="V47" s="110">
        <f>G47-лютий!G47</f>
        <v>2776.1399999999994</v>
      </c>
      <c r="W47" s="111">
        <f t="shared" si="10"/>
        <v>-6024.860000000001</v>
      </c>
      <c r="X47" s="148">
        <f>V47/U47</f>
        <v>0.3154346097034427</v>
      </c>
      <c r="Y47" s="197">
        <f t="shared" si="16"/>
        <v>-0.005975792330635388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19"/>
        <v>1</v>
      </c>
      <c r="U48" s="73">
        <f>F48-лютий!F48</f>
        <v>0</v>
      </c>
      <c r="V48" s="98">
        <f>G48-лютий!G48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14983.87</v>
      </c>
      <c r="G49" s="94">
        <v>14034.15</v>
      </c>
      <c r="H49" s="71">
        <f>G49-F49</f>
        <v>-949.7200000000012</v>
      </c>
      <c r="I49" s="209">
        <f>G49/F49</f>
        <v>0.9366171756695699</v>
      </c>
      <c r="J49" s="72">
        <f t="shared" si="1"/>
        <v>-41680.85</v>
      </c>
      <c r="K49" s="75">
        <f>G49/E49</f>
        <v>0.2518917706183254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10947.92</v>
      </c>
      <c r="S49" s="85">
        <f t="shared" si="5"/>
        <v>3086.2299999999996</v>
      </c>
      <c r="T49" s="153">
        <f t="shared" si="19"/>
        <v>1.2819010369092942</v>
      </c>
      <c r="U49" s="73">
        <f>F49-лютий!F49</f>
        <v>1400</v>
      </c>
      <c r="V49" s="98">
        <f>G49-лютий!G49</f>
        <v>440.52000000000044</v>
      </c>
      <c r="W49" s="74">
        <f t="shared" si="10"/>
        <v>-959.4799999999996</v>
      </c>
      <c r="X49" s="75">
        <f>V49/U49</f>
        <v>0.3146571428571432</v>
      </c>
      <c r="Y49" s="197">
        <f t="shared" si="16"/>
        <v>0.04462412538697391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53640.49</v>
      </c>
      <c r="G50" s="94">
        <v>48743.05</v>
      </c>
      <c r="H50" s="71">
        <f>G50-F50</f>
        <v>-4897.439999999995</v>
      </c>
      <c r="I50" s="209">
        <f>G50/F50</f>
        <v>0.9086988206110721</v>
      </c>
      <c r="J50" s="72">
        <f t="shared" si="1"/>
        <v>-150011.95</v>
      </c>
      <c r="K50" s="75">
        <f>G50/E50</f>
        <v>0.2452418807074036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44432.58</v>
      </c>
      <c r="S50" s="85">
        <f t="shared" si="5"/>
        <v>4310.470000000001</v>
      </c>
      <c r="T50" s="153">
        <f t="shared" si="19"/>
        <v>1.097011472212507</v>
      </c>
      <c r="U50" s="73">
        <f>F50-лютий!F50</f>
        <v>7400</v>
      </c>
      <c r="V50" s="98">
        <f>G50-лютий!G50</f>
        <v>2335.6100000000006</v>
      </c>
      <c r="W50" s="74">
        <f t="shared" si="10"/>
        <v>-5064.389999999999</v>
      </c>
      <c r="X50" s="75">
        <f>V50/U50</f>
        <v>0.31562297297297304</v>
      </c>
      <c r="Y50" s="197">
        <f t="shared" si="16"/>
        <v>-0.017896994842902858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24.8</v>
      </c>
      <c r="G51" s="94">
        <v>21.84</v>
      </c>
      <c r="H51" s="71">
        <f>G51-F51</f>
        <v>-2.960000000000001</v>
      </c>
      <c r="I51" s="209">
        <f>G51/F51</f>
        <v>0.8806451612903226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19"/>
        <v>1.3556797020484173</v>
      </c>
      <c r="U51" s="73">
        <f>F51-лютий!F51</f>
        <v>1</v>
      </c>
      <c r="V51" s="98">
        <f>G51-лютий!G51</f>
        <v>0</v>
      </c>
      <c r="W51" s="74">
        <f t="shared" si="10"/>
        <v>-1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73">
        <f>F52-лютий!F52</f>
        <v>0</v>
      </c>
      <c r="V52" s="98">
        <f>G52-лютий!G52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9229.529999999999</v>
      </c>
      <c r="H53" s="103">
        <f>H54+H55+H56+H57+H58+H60+H62+H63+H64+H65+H66+H71+H72+H76+H59+H61</f>
        <v>-1413.5180000000003</v>
      </c>
      <c r="I53" s="143">
        <f aca="true" t="shared" si="20" ref="I53:I72">G53/F53</f>
        <v>0.8671886098794255</v>
      </c>
      <c r="J53" s="104">
        <f>G53-E53</f>
        <v>-38019.37</v>
      </c>
      <c r="K53" s="156">
        <f aca="true" t="shared" si="21" ref="K53:K72">G53/E53</f>
        <v>0.1953385158172994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 t="shared" si="5"/>
        <v>-4644.700000000001</v>
      </c>
      <c r="T53" s="143">
        <f>G53/R53</f>
        <v>0.6652282685237306</v>
      </c>
      <c r="U53" s="103">
        <f>U54+U55+U56+U57+U58+U60+U62+U63+U64+U65+U66+U71+U72+U76+U59+U61</f>
        <v>3607.5</v>
      </c>
      <c r="V53" s="103">
        <f>V54+V55+V56+V57+V58+V60+V62+V63+V64+V65+V66+V71+V72+V76+V59+V61</f>
        <v>2283.85</v>
      </c>
      <c r="W53" s="103">
        <f>W54+W55+W56+W57+W58+W60+W62+W63+W64+W65+W66+W71+W72+W76</f>
        <v>-1313.65</v>
      </c>
      <c r="X53" s="143">
        <f>V53/U53</f>
        <v>0.6330838530838531</v>
      </c>
      <c r="Y53" s="197">
        <f t="shared" si="16"/>
        <v>-0.015778255166191357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 t="shared" si="5"/>
        <v>245.73</v>
      </c>
      <c r="T54" s="155">
        <f>G54/R54</f>
        <v>-0.3153302644256504</v>
      </c>
      <c r="U54" s="107">
        <f>F54-лютий!F54</f>
        <v>0</v>
      </c>
      <c r="V54" s="110">
        <f>G54-лютий!G54</f>
        <v>3.4199999999999946</v>
      </c>
      <c r="W54" s="111">
        <f aca="true" t="shared" si="23" ref="W54:W78">V54-U54</f>
        <v>3.4199999999999946</v>
      </c>
      <c r="X54" s="155" t="e">
        <f>V54/U54</f>
        <v>#DIV/0!</v>
      </c>
      <c r="Y54" s="197">
        <f t="shared" si="16"/>
        <v>-1.3214199544740945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580.078</v>
      </c>
      <c r="G55" s="106">
        <v>1099.77</v>
      </c>
      <c r="H55" s="102">
        <f t="shared" si="22"/>
        <v>519.692</v>
      </c>
      <c r="I55" s="213">
        <f t="shared" si="20"/>
        <v>1.8959002065239503</v>
      </c>
      <c r="J55" s="115">
        <f aca="true" t="shared" si="24" ref="J55:J78">G55-E55</f>
        <v>-3900.23</v>
      </c>
      <c r="K55" s="155">
        <f t="shared" si="21"/>
        <v>0.21995399999999998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4701.84</v>
      </c>
      <c r="S55" s="115">
        <f t="shared" si="5"/>
        <v>-3602.07</v>
      </c>
      <c r="T55" s="155">
        <f aca="true" t="shared" si="27" ref="T55:T78">G55/R55</f>
        <v>0.23390204685825122</v>
      </c>
      <c r="U55" s="107">
        <f>F55-лютий!F55</f>
        <v>300</v>
      </c>
      <c r="V55" s="110">
        <f>G55-лютий!G55</f>
        <v>819.69</v>
      </c>
      <c r="W55" s="111">
        <f t="shared" si="23"/>
        <v>519.69</v>
      </c>
      <c r="X55" s="155">
        <f aca="true" t="shared" si="28" ref="X55:X77">V55/U55</f>
        <v>2.7323000000000004</v>
      </c>
      <c r="Y55" s="197">
        <f t="shared" si="16"/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28</v>
      </c>
      <c r="G56" s="106">
        <v>13.23</v>
      </c>
      <c r="H56" s="102">
        <f t="shared" si="22"/>
        <v>-14.77</v>
      </c>
      <c r="I56" s="213">
        <f t="shared" si="20"/>
        <v>0.47250000000000003</v>
      </c>
      <c r="J56" s="115">
        <f t="shared" si="24"/>
        <v>-144.77</v>
      </c>
      <c r="K56" s="155">
        <f t="shared" si="21"/>
        <v>0.08373417721518987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72.08</v>
      </c>
      <c r="S56" s="115">
        <f t="shared" si="5"/>
        <v>-58.849999999999994</v>
      </c>
      <c r="T56" s="155">
        <f t="shared" si="27"/>
        <v>0.18354605993340734</v>
      </c>
      <c r="U56" s="107">
        <f>F56-лютий!F56</f>
        <v>14</v>
      </c>
      <c r="V56" s="110">
        <f>G56-лютий!G56</f>
        <v>0</v>
      </c>
      <c r="W56" s="111">
        <f t="shared" si="23"/>
        <v>-14</v>
      </c>
      <c r="X56" s="155">
        <f t="shared" si="28"/>
        <v>0</v>
      </c>
      <c r="Y56" s="197">
        <f t="shared" si="16"/>
        <v>-0.8471127789446096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4</v>
      </c>
      <c r="G57" s="106">
        <v>2.02</v>
      </c>
      <c r="H57" s="102">
        <f t="shared" si="22"/>
        <v>-1.98</v>
      </c>
      <c r="I57" s="213">
        <f t="shared" si="20"/>
        <v>0.505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148.43</v>
      </c>
      <c r="G58" s="106">
        <v>54.27</v>
      </c>
      <c r="H58" s="102">
        <f t="shared" si="22"/>
        <v>-94.16</v>
      </c>
      <c r="I58" s="213">
        <f t="shared" si="20"/>
        <v>0.36562689483258104</v>
      </c>
      <c r="J58" s="115">
        <f t="shared" si="24"/>
        <v>-689.73</v>
      </c>
      <c r="K58" s="155">
        <f t="shared" si="21"/>
        <v>0.07294354838709678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277.76</v>
      </c>
      <c r="S58" s="115">
        <f t="shared" si="5"/>
        <v>-223.48999999999998</v>
      </c>
      <c r="T58" s="155">
        <f t="shared" si="27"/>
        <v>0.19538450460829496</v>
      </c>
      <c r="U58" s="107">
        <f>F58-лютий!F58</f>
        <v>60</v>
      </c>
      <c r="V58" s="110">
        <f>G58-лютий!G58</f>
        <v>2.0900000000000034</v>
      </c>
      <c r="W58" s="111">
        <f t="shared" si="23"/>
        <v>-57.91</v>
      </c>
      <c r="X58" s="155">
        <f t="shared" si="28"/>
        <v>0.03483333333333339</v>
      </c>
      <c r="Y58" s="197">
        <f t="shared" si="16"/>
        <v>-0.8594708072403958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20</v>
      </c>
      <c r="G59" s="106">
        <v>-11.58</v>
      </c>
      <c r="H59" s="102">
        <f t="shared" si="22"/>
        <v>-31.58</v>
      </c>
      <c r="I59" s="213">
        <f t="shared" si="20"/>
        <v>-0.579</v>
      </c>
      <c r="J59" s="115">
        <f t="shared" si="24"/>
        <v>-127.08</v>
      </c>
      <c r="K59" s="155">
        <f t="shared" si="21"/>
        <v>-0.10025974025974026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0.51</v>
      </c>
      <c r="S59" s="115">
        <f t="shared" si="5"/>
        <v>-12.09</v>
      </c>
      <c r="T59" s="155">
        <f t="shared" si="27"/>
        <v>-22.705882352941178</v>
      </c>
      <c r="U59" s="107">
        <f>F59-лютий!F59</f>
        <v>10</v>
      </c>
      <c r="V59" s="110">
        <f>G59-лютий!G59</f>
        <v>0</v>
      </c>
      <c r="W59" s="111">
        <f t="shared" si="23"/>
        <v>-10</v>
      </c>
      <c r="X59" s="155">
        <f t="shared" si="28"/>
        <v>0</v>
      </c>
      <c r="Y59" s="197">
        <f t="shared" si="16"/>
        <v>-23.71638104060522</v>
      </c>
    </row>
    <row r="60" spans="1:25" s="6" customFormat="1" ht="30.75">
      <c r="A60" s="8"/>
      <c r="B60" s="274" t="s">
        <v>89</v>
      </c>
      <c r="C60" s="40">
        <v>22010300</v>
      </c>
      <c r="D60" s="249">
        <v>1284</v>
      </c>
      <c r="E60" s="102">
        <v>1284</v>
      </c>
      <c r="F60" s="102">
        <v>284</v>
      </c>
      <c r="G60" s="106">
        <v>208.95</v>
      </c>
      <c r="H60" s="102">
        <f t="shared" si="22"/>
        <v>-75.05000000000001</v>
      </c>
      <c r="I60" s="213">
        <f t="shared" si="20"/>
        <v>0.7357394366197183</v>
      </c>
      <c r="J60" s="115">
        <f t="shared" si="24"/>
        <v>-1075.05</v>
      </c>
      <c r="K60" s="155">
        <f t="shared" si="21"/>
        <v>0.16273364485981306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300.95</v>
      </c>
      <c r="S60" s="115">
        <f t="shared" si="5"/>
        <v>-92</v>
      </c>
      <c r="T60" s="155">
        <f t="shared" si="27"/>
        <v>0.6943013789666057</v>
      </c>
      <c r="U60" s="107">
        <f>F60-лютий!F60</f>
        <v>100</v>
      </c>
      <c r="V60" s="110">
        <f>G60-лютий!G60</f>
        <v>31.75999999999999</v>
      </c>
      <c r="W60" s="111">
        <f t="shared" si="23"/>
        <v>-68.24000000000001</v>
      </c>
      <c r="X60" s="155">
        <f t="shared" si="28"/>
        <v>0.3175999999999999</v>
      </c>
      <c r="Y60" s="197">
        <f t="shared" si="16"/>
        <v>-0.37113500186881576</v>
      </c>
    </row>
    <row r="61" spans="1:25" s="6" customFormat="1" ht="18" hidden="1">
      <c r="A61" s="8"/>
      <c r="B61" s="274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F61-лютий!F61</f>
        <v>0</v>
      </c>
      <c r="V61" s="110">
        <f>G61-лютий!G61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275" t="s">
        <v>65</v>
      </c>
      <c r="C62" s="57">
        <v>22012500</v>
      </c>
      <c r="D62" s="248">
        <v>21260</v>
      </c>
      <c r="E62" s="102">
        <v>21260</v>
      </c>
      <c r="F62" s="102">
        <v>5690</v>
      </c>
      <c r="G62" s="106">
        <v>4520.13</v>
      </c>
      <c r="H62" s="102">
        <f t="shared" si="22"/>
        <v>-1169.87</v>
      </c>
      <c r="I62" s="213">
        <f t="shared" si="20"/>
        <v>0.7943989455184535</v>
      </c>
      <c r="J62" s="115">
        <f t="shared" si="24"/>
        <v>-16739.87</v>
      </c>
      <c r="K62" s="155">
        <f t="shared" si="21"/>
        <v>0.21261194731890876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3584.94</v>
      </c>
      <c r="S62" s="115">
        <f t="shared" si="5"/>
        <v>935.19</v>
      </c>
      <c r="T62" s="155">
        <f t="shared" si="27"/>
        <v>1.2608662906492158</v>
      </c>
      <c r="U62" s="107">
        <f>F62-лютий!F62</f>
        <v>1800</v>
      </c>
      <c r="V62" s="110">
        <f>G62-лютий!G62</f>
        <v>564.71</v>
      </c>
      <c r="W62" s="111">
        <f t="shared" si="23"/>
        <v>-1235.29</v>
      </c>
      <c r="X62" s="155">
        <f t="shared" si="28"/>
        <v>0.31372777777777777</v>
      </c>
      <c r="Y62" s="197">
        <f t="shared" si="16"/>
        <v>0.20368817055656607</v>
      </c>
    </row>
    <row r="63" spans="1:25" s="6" customFormat="1" ht="31.5">
      <c r="A63" s="8"/>
      <c r="B63" s="275" t="s">
        <v>86</v>
      </c>
      <c r="C63" s="57">
        <v>22012600</v>
      </c>
      <c r="D63" s="248">
        <v>767</v>
      </c>
      <c r="E63" s="102">
        <v>767</v>
      </c>
      <c r="F63" s="102">
        <v>185</v>
      </c>
      <c r="G63" s="106">
        <v>140.9</v>
      </c>
      <c r="H63" s="102">
        <f t="shared" si="22"/>
        <v>-44.099999999999994</v>
      </c>
      <c r="I63" s="213">
        <f t="shared" si="20"/>
        <v>0.7616216216216216</v>
      </c>
      <c r="J63" s="115">
        <f t="shared" si="24"/>
        <v>-626.1</v>
      </c>
      <c r="K63" s="155">
        <f t="shared" si="21"/>
        <v>0.1837027379400261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135.2</v>
      </c>
      <c r="S63" s="115">
        <f t="shared" si="5"/>
        <v>5.700000000000017</v>
      </c>
      <c r="T63" s="155">
        <f t="shared" si="27"/>
        <v>1.0421597633136095</v>
      </c>
      <c r="U63" s="107">
        <f>F63-лютий!F63</f>
        <v>64</v>
      </c>
      <c r="V63" s="110">
        <f>G63-лютий!G63</f>
        <v>19.210000000000008</v>
      </c>
      <c r="W63" s="111">
        <f t="shared" si="23"/>
        <v>-44.78999999999999</v>
      </c>
      <c r="X63" s="155">
        <f t="shared" si="28"/>
        <v>0.3001562500000001</v>
      </c>
      <c r="Y63" s="197">
        <f t="shared" si="16"/>
        <v>-0.03806106931553832</v>
      </c>
    </row>
    <row r="64" spans="1:25" s="6" customFormat="1" ht="31.5">
      <c r="A64" s="8"/>
      <c r="B64" s="275" t="s">
        <v>90</v>
      </c>
      <c r="C64" s="57">
        <v>22012900</v>
      </c>
      <c r="D64" s="248">
        <v>44</v>
      </c>
      <c r="E64" s="102">
        <v>44</v>
      </c>
      <c r="F64" s="102">
        <v>8</v>
      </c>
      <c r="G64" s="106">
        <v>7.23</v>
      </c>
      <c r="H64" s="102">
        <f t="shared" si="22"/>
        <v>-0.7699999999999996</v>
      </c>
      <c r="I64" s="213">
        <f t="shared" si="20"/>
        <v>0.90375</v>
      </c>
      <c r="J64" s="115">
        <f t="shared" si="24"/>
        <v>-36.769999999999996</v>
      </c>
      <c r="K64" s="155">
        <f t="shared" si="21"/>
        <v>0.16431818181818184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4</v>
      </c>
      <c r="S64" s="115">
        <f t="shared" si="5"/>
        <v>3.2300000000000004</v>
      </c>
      <c r="T64" s="155">
        <f t="shared" si="27"/>
        <v>1.8075</v>
      </c>
      <c r="U64" s="107">
        <f>F64-лютий!F64</f>
        <v>4</v>
      </c>
      <c r="V64" s="110">
        <f>G64-лютий!G64</f>
        <v>0.5300000000000002</v>
      </c>
      <c r="W64" s="111">
        <f t="shared" si="23"/>
        <v>-3.4699999999999998</v>
      </c>
      <c r="X64" s="155">
        <f t="shared" si="28"/>
        <v>0.13250000000000006</v>
      </c>
      <c r="Y64" s="197">
        <f t="shared" si="16"/>
        <v>0.7457239382239382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1564.14</v>
      </c>
      <c r="G65" s="106">
        <v>1700.57</v>
      </c>
      <c r="H65" s="102">
        <f t="shared" si="22"/>
        <v>136.42999999999984</v>
      </c>
      <c r="I65" s="213">
        <f t="shared" si="20"/>
        <v>1.0872236500569001</v>
      </c>
      <c r="J65" s="115">
        <f t="shared" si="24"/>
        <v>-4299.43</v>
      </c>
      <c r="K65" s="155">
        <f t="shared" si="21"/>
        <v>0.28342833333333334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1623.09</v>
      </c>
      <c r="S65" s="115">
        <f t="shared" si="5"/>
        <v>77.48000000000002</v>
      </c>
      <c r="T65" s="155">
        <f t="shared" si="27"/>
        <v>1.0477361082872791</v>
      </c>
      <c r="U65" s="107">
        <f>F65-лютий!F65</f>
        <v>500</v>
      </c>
      <c r="V65" s="110">
        <f>G65-лютий!G65</f>
        <v>586.3399999999999</v>
      </c>
      <c r="W65" s="111">
        <f t="shared" si="23"/>
        <v>86.33999999999992</v>
      </c>
      <c r="X65" s="155">
        <f t="shared" si="28"/>
        <v>1.17268</v>
      </c>
      <c r="Y65" s="197">
        <f t="shared" si="16"/>
        <v>0.13114022319173935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195.14</v>
      </c>
      <c r="G66" s="106">
        <v>118.53</v>
      </c>
      <c r="H66" s="102">
        <f t="shared" si="22"/>
        <v>-76.60999999999999</v>
      </c>
      <c r="I66" s="213">
        <f t="shared" si="20"/>
        <v>0.6074100645690275</v>
      </c>
      <c r="J66" s="115">
        <f t="shared" si="24"/>
        <v>-747.47</v>
      </c>
      <c r="K66" s="155">
        <f t="shared" si="21"/>
        <v>0.13687066974595843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246</v>
      </c>
      <c r="S66" s="115">
        <f t="shared" si="5"/>
        <v>-127.47</v>
      </c>
      <c r="T66" s="155">
        <f t="shared" si="27"/>
        <v>0.4818292682926829</v>
      </c>
      <c r="U66" s="107">
        <f>F66-лютий!F66</f>
        <v>74.49999999999999</v>
      </c>
      <c r="V66" s="110">
        <f>G66-лютий!G66</f>
        <v>11.650000000000006</v>
      </c>
      <c r="W66" s="111">
        <f t="shared" si="23"/>
        <v>-62.84999999999998</v>
      </c>
      <c r="X66" s="155">
        <f t="shared" si="28"/>
        <v>0.1563758389261746</v>
      </c>
      <c r="Y66" s="197">
        <f t="shared" si="16"/>
        <v>-0.4844513324526698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160.42</v>
      </c>
      <c r="G67" s="94">
        <v>92.14</v>
      </c>
      <c r="H67" s="71">
        <f t="shared" si="22"/>
        <v>-68.27999999999999</v>
      </c>
      <c r="I67" s="209">
        <f t="shared" si="20"/>
        <v>0.5743672858745793</v>
      </c>
      <c r="J67" s="72">
        <f t="shared" si="24"/>
        <v>-636.0600000000001</v>
      </c>
      <c r="K67" s="75">
        <f t="shared" si="21"/>
        <v>0.12653117275473771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220.94</v>
      </c>
      <c r="S67" s="203">
        <f t="shared" si="5"/>
        <v>-128.8</v>
      </c>
      <c r="T67" s="204">
        <f t="shared" si="27"/>
        <v>0.4170362994478139</v>
      </c>
      <c r="U67" s="73">
        <f>F67-лютий!F67</f>
        <v>62.999999999999986</v>
      </c>
      <c r="V67" s="98">
        <f>G67-лютий!G67</f>
        <v>8.25</v>
      </c>
      <c r="W67" s="74">
        <f t="shared" si="23"/>
        <v>-54.749999999999986</v>
      </c>
      <c r="X67" s="75">
        <f t="shared" si="28"/>
        <v>0.130952380952381</v>
      </c>
      <c r="Y67" s="197">
        <f t="shared" si="16"/>
        <v>-0.54034057731062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0.1</v>
      </c>
      <c r="G68" s="94">
        <v>0.04</v>
      </c>
      <c r="H68" s="71">
        <f t="shared" si="22"/>
        <v>-0.060000000000000005</v>
      </c>
      <c r="I68" s="209">
        <f t="shared" si="20"/>
        <v>0.39999999999999997</v>
      </c>
      <c r="J68" s="72">
        <f t="shared" si="24"/>
        <v>-0.96</v>
      </c>
      <c r="K68" s="75">
        <f t="shared" si="21"/>
        <v>0.04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</v>
      </c>
      <c r="S68" s="203">
        <f t="shared" si="5"/>
        <v>-0.060000000000000005</v>
      </c>
      <c r="T68" s="204">
        <f t="shared" si="27"/>
        <v>0.39999999999999997</v>
      </c>
      <c r="U68" s="73">
        <f>F68-лютий!F68</f>
        <v>0.1</v>
      </c>
      <c r="V68" s="98">
        <f>G68-лютий!G68</f>
        <v>0</v>
      </c>
      <c r="W68" s="74">
        <f t="shared" si="23"/>
        <v>-0.1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F69-лютий!F69</f>
        <v>0</v>
      </c>
      <c r="V69" s="98">
        <f>G69-лютий!G69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34.62</v>
      </c>
      <c r="G70" s="94">
        <v>26.34</v>
      </c>
      <c r="H70" s="71">
        <f t="shared" si="22"/>
        <v>-8.279999999999998</v>
      </c>
      <c r="I70" s="209">
        <f t="shared" si="20"/>
        <v>0.7608318890814558</v>
      </c>
      <c r="J70" s="72">
        <f t="shared" si="24"/>
        <v>-110.46000000000001</v>
      </c>
      <c r="K70" s="75">
        <f t="shared" si="21"/>
        <v>0.1925438596491228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24.96</v>
      </c>
      <c r="S70" s="203">
        <f t="shared" si="5"/>
        <v>1.379999999999999</v>
      </c>
      <c r="T70" s="204">
        <f t="shared" si="27"/>
        <v>1.0552884615384615</v>
      </c>
      <c r="U70" s="73">
        <f>F70-лютий!F70</f>
        <v>11.399999999999999</v>
      </c>
      <c r="V70" s="98">
        <f>G70-лютий!G70</f>
        <v>3.1900000000000013</v>
      </c>
      <c r="W70" s="74">
        <f t="shared" si="23"/>
        <v>-8.209999999999997</v>
      </c>
      <c r="X70" s="75">
        <f t="shared" si="28"/>
        <v>0.2798245614035089</v>
      </c>
      <c r="Y70" s="197">
        <f t="shared" si="16"/>
        <v>0.04509794315122151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F71-лютий!F71</f>
        <v>0</v>
      </c>
      <c r="V71" s="110">
        <f>G71-лютий!G71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1928.65</v>
      </c>
      <c r="G72" s="106">
        <v>1316.6</v>
      </c>
      <c r="H72" s="102">
        <f t="shared" si="22"/>
        <v>-612.0500000000002</v>
      </c>
      <c r="I72" s="213">
        <f t="shared" si="20"/>
        <v>0.6826536696653098</v>
      </c>
      <c r="J72" s="115">
        <f t="shared" si="24"/>
        <v>-6853.4</v>
      </c>
      <c r="K72" s="155">
        <f t="shared" si="21"/>
        <v>0.16115055079559362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3075.73</v>
      </c>
      <c r="S72" s="115">
        <f t="shared" si="5"/>
        <v>-1759.13</v>
      </c>
      <c r="T72" s="155">
        <f t="shared" si="27"/>
        <v>0.42806098064524517</v>
      </c>
      <c r="U72" s="107">
        <f>F72-лютий!F72</f>
        <v>680</v>
      </c>
      <c r="V72" s="110">
        <f>G72-лютий!G72</f>
        <v>244.44999999999982</v>
      </c>
      <c r="W72" s="111">
        <f t="shared" si="23"/>
        <v>-435.5500000000002</v>
      </c>
      <c r="X72" s="155">
        <f t="shared" si="28"/>
        <v>0.3594852941176468</v>
      </c>
      <c r="Y72" s="197">
        <f t="shared" si="16"/>
        <v>-0.5822123990839967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F73-лютий!F73</f>
        <v>0</v>
      </c>
      <c r="V73" s="110">
        <f>G73-лютий!G73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F74-лютий!F74</f>
        <v>0</v>
      </c>
      <c r="V74" s="110">
        <f>G74-лютий!G74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F75-лютий!F75</f>
        <v>0</v>
      </c>
      <c r="V75" s="110">
        <f>G75-лютий!G75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2"/>
        <v>0</v>
      </c>
      <c r="I76" s="213" t="e">
        <f>G76/F76</f>
        <v>#DIV/0!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7"/>
        <v>0</v>
      </c>
      <c r="U76" s="107">
        <f>F76-лютий!F76</f>
        <v>0</v>
      </c>
      <c r="V76" s="110">
        <f>G76-лютий!G76</f>
        <v>0</v>
      </c>
      <c r="W76" s="111">
        <f t="shared" si="23"/>
        <v>0</v>
      </c>
      <c r="X76" s="155" t="e">
        <f t="shared" si="28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9.57</v>
      </c>
      <c r="G77" s="106">
        <v>4.74</v>
      </c>
      <c r="H77" s="102">
        <f t="shared" si="22"/>
        <v>-4.83</v>
      </c>
      <c r="I77" s="213">
        <f>G77/F77</f>
        <v>0.49529780564263326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 t="shared" si="5"/>
        <v>-9.53</v>
      </c>
      <c r="T77" s="155">
        <f t="shared" si="27"/>
        <v>0.33216538192011213</v>
      </c>
      <c r="U77" s="107">
        <f>F77-лютий!F77</f>
        <v>2.9000000000000004</v>
      </c>
      <c r="V77" s="110">
        <f>G77-лютий!G77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0.11</v>
      </c>
      <c r="H78" s="102">
        <f t="shared" si="22"/>
        <v>0.11</v>
      </c>
      <c r="I78" s="213" t="e">
        <f>G78/F78</f>
        <v>#DIV/0!</v>
      </c>
      <c r="J78" s="115">
        <f t="shared" si="24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7"/>
        <v>-0.020637898686679174</v>
      </c>
      <c r="U78" s="107">
        <f>F78-лютий!F78</f>
        <v>0</v>
      </c>
      <c r="V78" s="110">
        <f>G78-лютий!G78</f>
        <v>0</v>
      </c>
      <c r="W78" s="111">
        <f t="shared" si="23"/>
        <v>0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282400.99</v>
      </c>
      <c r="H79" s="103">
        <f>G79-F79</f>
        <v>-89794.56700000004</v>
      </c>
      <c r="I79" s="210">
        <f>G79/F79</f>
        <v>0.7587435816704281</v>
      </c>
      <c r="J79" s="104">
        <f>G79-E79</f>
        <v>-1345516.71</v>
      </c>
      <c r="K79" s="156">
        <f>G79/E79</f>
        <v>0.173473751160762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-25027.97000000003</v>
      </c>
      <c r="T79" s="156">
        <f>G79/R79</f>
        <v>0.9185894198126291</v>
      </c>
      <c r="U79" s="103">
        <f>U8+U53+U77+U78</f>
        <v>123391.9</v>
      </c>
      <c r="V79" s="103">
        <f>V8+V53+V77+V78</f>
        <v>33558.53999999999</v>
      </c>
      <c r="W79" s="135">
        <f>V79-U79</f>
        <v>-89833.36</v>
      </c>
      <c r="X79" s="156">
        <f>V79/U79</f>
        <v>0.2719671226393304</v>
      </c>
      <c r="Y79" s="197">
        <f t="shared" si="16"/>
        <v>-0.24504304570483193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-35.57</v>
      </c>
      <c r="T87" s="147"/>
      <c r="U87" s="129">
        <f>F87-лютий!F87</f>
        <v>0</v>
      </c>
      <c r="V87" s="174">
        <f>G87-лютий!G87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806.45</v>
      </c>
      <c r="H88" s="112">
        <f t="shared" si="31"/>
        <v>0.02100000000007185</v>
      </c>
      <c r="I88" s="213">
        <f>G88/F88</f>
        <v>1.0000260407301822</v>
      </c>
      <c r="J88" s="117">
        <f>G88-E88</f>
        <v>-4193.55</v>
      </c>
      <c r="K88" s="147">
        <f>G88/E88</f>
        <v>0.16129000000000002</v>
      </c>
      <c r="L88" s="117"/>
      <c r="M88" s="117"/>
      <c r="N88" s="117"/>
      <c r="O88" s="117">
        <v>938.14</v>
      </c>
      <c r="P88" s="117">
        <f t="shared" si="32"/>
        <v>4061.86</v>
      </c>
      <c r="Q88" s="147">
        <f t="shared" si="33"/>
        <v>5.329694928262306</v>
      </c>
      <c r="R88" s="117">
        <v>0.11</v>
      </c>
      <c r="S88" s="117">
        <f t="shared" si="29"/>
        <v>806.34</v>
      </c>
      <c r="T88" s="147">
        <f t="shared" si="30"/>
        <v>7331.363636363637</v>
      </c>
      <c r="U88" s="112">
        <f>F88-лютий!F88</f>
        <v>0</v>
      </c>
      <c r="V88" s="118">
        <f>G88-лютий!G88</f>
        <v>0.009999999999990905</v>
      </c>
      <c r="W88" s="117">
        <f t="shared" si="34"/>
        <v>0.009999999999990905</v>
      </c>
      <c r="X88" s="147" t="e">
        <f>V88/U88</f>
        <v>#DIV/0!</v>
      </c>
      <c r="Y88" s="197">
        <f t="shared" si="16"/>
        <v>7326.033941435375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2015</v>
      </c>
      <c r="G89" s="126">
        <v>194.45</v>
      </c>
      <c r="H89" s="112">
        <f t="shared" si="31"/>
        <v>-1820.55</v>
      </c>
      <c r="I89" s="213">
        <f>G89/F89</f>
        <v>0.09650124069478908</v>
      </c>
      <c r="J89" s="117">
        <f aca="true" t="shared" si="35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167.2</v>
      </c>
      <c r="S89" s="117">
        <f t="shared" si="29"/>
        <v>27.25</v>
      </c>
      <c r="T89" s="147">
        <f t="shared" si="30"/>
        <v>1.1629784688995215</v>
      </c>
      <c r="U89" s="112">
        <f>F89-лютий!F89</f>
        <v>1000</v>
      </c>
      <c r="V89" s="118">
        <f>G89-лютий!G89</f>
        <v>0</v>
      </c>
      <c r="W89" s="117">
        <f t="shared" si="34"/>
        <v>-1000</v>
      </c>
      <c r="X89" s="147">
        <f>V89/U89</f>
        <v>0</v>
      </c>
      <c r="Y89" s="197">
        <f t="shared" si="16"/>
        <v>-0.8568774924937113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6000</v>
      </c>
      <c r="G90" s="126">
        <v>1342.79</v>
      </c>
      <c r="H90" s="112">
        <f t="shared" si="31"/>
        <v>-4657.21</v>
      </c>
      <c r="I90" s="213">
        <f>G90/F90</f>
        <v>0.22379833333333332</v>
      </c>
      <c r="J90" s="117">
        <f t="shared" si="35"/>
        <v>-20657.21</v>
      </c>
      <c r="K90" s="147">
        <f>G90/E90</f>
        <v>0.06103590909090909</v>
      </c>
      <c r="L90" s="117"/>
      <c r="M90" s="117"/>
      <c r="N90" s="117"/>
      <c r="O90" s="117">
        <v>17305.88</v>
      </c>
      <c r="P90" s="117">
        <f t="shared" si="32"/>
        <v>4694.119999999999</v>
      </c>
      <c r="Q90" s="147">
        <f t="shared" si="33"/>
        <v>1.2712442245063527</v>
      </c>
      <c r="R90" s="117">
        <v>1214.24</v>
      </c>
      <c r="S90" s="117">
        <f t="shared" si="29"/>
        <v>128.54999999999995</v>
      </c>
      <c r="T90" s="147">
        <f t="shared" si="30"/>
        <v>1.1058686915272105</v>
      </c>
      <c r="U90" s="112">
        <f>F90-лютий!F90</f>
        <v>3000</v>
      </c>
      <c r="V90" s="118">
        <f>G90-лютий!G90</f>
        <v>1011.64</v>
      </c>
      <c r="W90" s="117">
        <f t="shared" si="34"/>
        <v>-1988.3600000000001</v>
      </c>
      <c r="X90" s="147">
        <f>V90/U90</f>
        <v>0.3372133333333333</v>
      </c>
      <c r="Y90" s="197">
        <f t="shared" si="16"/>
        <v>-0.1653755329791422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6</v>
      </c>
      <c r="G91" s="126">
        <v>3</v>
      </c>
      <c r="H91" s="112">
        <f t="shared" si="31"/>
        <v>-3</v>
      </c>
      <c r="I91" s="213">
        <f>G91/F91</f>
        <v>0.5</v>
      </c>
      <c r="J91" s="117">
        <f t="shared" si="35"/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3</v>
      </c>
      <c r="S91" s="117">
        <f t="shared" si="29"/>
        <v>0</v>
      </c>
      <c r="T91" s="147">
        <f t="shared" si="30"/>
        <v>1</v>
      </c>
      <c r="U91" s="112">
        <f>F91-лютий!F91</f>
        <v>2</v>
      </c>
      <c r="V91" s="118">
        <f>G91-лютий!G91</f>
        <v>1</v>
      </c>
      <c r="W91" s="117">
        <f t="shared" si="34"/>
        <v>-1</v>
      </c>
      <c r="X91" s="147">
        <f>V91/U91</f>
        <v>0.5</v>
      </c>
      <c r="Y91" s="197">
        <f t="shared" si="16"/>
        <v>-0.19999999999999996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8827.429</v>
      </c>
      <c r="G92" s="128">
        <f>G88+G89+G90+G91</f>
        <v>2346.69</v>
      </c>
      <c r="H92" s="129">
        <f t="shared" si="31"/>
        <v>-6480.739</v>
      </c>
      <c r="I92" s="216">
        <f>G92/F92</f>
        <v>0.26584071081172106</v>
      </c>
      <c r="J92" s="131">
        <f t="shared" si="35"/>
        <v>-41126.31</v>
      </c>
      <c r="K92" s="151">
        <f>G92/E92</f>
        <v>0.05398040162859706</v>
      </c>
      <c r="L92" s="131"/>
      <c r="M92" s="131"/>
      <c r="N92" s="131"/>
      <c r="O92" s="131">
        <v>26407.66</v>
      </c>
      <c r="P92" s="131">
        <f t="shared" si="32"/>
        <v>17065.34</v>
      </c>
      <c r="Q92" s="151">
        <f t="shared" si="33"/>
        <v>1.6462268902280626</v>
      </c>
      <c r="R92" s="131">
        <v>1384.55474</v>
      </c>
      <c r="S92" s="117">
        <f t="shared" si="29"/>
        <v>962.13526</v>
      </c>
      <c r="T92" s="147">
        <f t="shared" si="30"/>
        <v>1.6949059016619308</v>
      </c>
      <c r="U92" s="129">
        <f>F92-лютий!F92</f>
        <v>4002</v>
      </c>
      <c r="V92" s="174">
        <f>G92-лютий!G92</f>
        <v>1012.6500000000001</v>
      </c>
      <c r="W92" s="131">
        <f t="shared" si="34"/>
        <v>-2989.35</v>
      </c>
      <c r="X92" s="151">
        <f>V92/U92</f>
        <v>0.2530359820089955</v>
      </c>
      <c r="Y92" s="197">
        <f t="shared" si="16"/>
        <v>0.04867901143386821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7</v>
      </c>
      <c r="G93" s="126">
        <v>0.05</v>
      </c>
      <c r="H93" s="112">
        <f t="shared" si="31"/>
        <v>-6.95</v>
      </c>
      <c r="I93" s="213"/>
      <c r="J93" s="117">
        <f t="shared" si="35"/>
        <v>-42.95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8.78</v>
      </c>
      <c r="S93" s="117">
        <f t="shared" si="29"/>
        <v>-8.729999999999999</v>
      </c>
      <c r="T93" s="147">
        <f t="shared" si="30"/>
        <v>0.0056947608200455585</v>
      </c>
      <c r="U93" s="112">
        <f>F93-лютий!F93</f>
        <v>4</v>
      </c>
      <c r="V93" s="118">
        <f>G93-лютий!G93</f>
        <v>0.030000000000000002</v>
      </c>
      <c r="W93" s="117">
        <f t="shared" si="34"/>
        <v>-3.97</v>
      </c>
      <c r="X93" s="147"/>
      <c r="Y93" s="197">
        <f t="shared" si="16"/>
        <v>-0.8688222210794866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F94-лютий!F94</f>
        <v>0</v>
      </c>
      <c r="V94" s="118">
        <f>G94-лютий!G94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2819.75</v>
      </c>
      <c r="G95" s="126">
        <v>2378.5</v>
      </c>
      <c r="H95" s="112">
        <f t="shared" si="31"/>
        <v>-441.25</v>
      </c>
      <c r="I95" s="213">
        <f>G95/F95</f>
        <v>0.8435144959659544</v>
      </c>
      <c r="J95" s="117">
        <f t="shared" si="35"/>
        <v>-6671.5</v>
      </c>
      <c r="K95" s="147">
        <f>G95/E95</f>
        <v>0.26281767955801105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2217.95</v>
      </c>
      <c r="S95" s="117">
        <f t="shared" si="29"/>
        <v>160.55000000000018</v>
      </c>
      <c r="T95" s="147">
        <f t="shared" si="30"/>
        <v>1.0723866633603103</v>
      </c>
      <c r="U95" s="112">
        <f>F95-лютий!F95</f>
        <v>1</v>
      </c>
      <c r="V95" s="118">
        <f>G95-лютий!G95</f>
        <v>0.2600000000002183</v>
      </c>
      <c r="W95" s="117">
        <f t="shared" si="34"/>
        <v>-0.7399999999997817</v>
      </c>
      <c r="X95" s="147">
        <f>V95/U95</f>
        <v>0.2600000000002183</v>
      </c>
      <c r="Y95" s="197">
        <f t="shared" si="16"/>
        <v>-0.05408428364701123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G96-лютий!G96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2378.55</v>
      </c>
      <c r="H97" s="129">
        <f t="shared" si="31"/>
        <v>-448.1999999999998</v>
      </c>
      <c r="I97" s="216">
        <f>G97/F97</f>
        <v>0.8414433536747148</v>
      </c>
      <c r="J97" s="131">
        <f t="shared" si="35"/>
        <v>-6714.45</v>
      </c>
      <c r="K97" s="151">
        <f>G97/E97</f>
        <v>0.2615803365225998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2226.76</v>
      </c>
      <c r="S97" s="117">
        <f t="shared" si="29"/>
        <v>151.78999999999996</v>
      </c>
      <c r="T97" s="147">
        <f t="shared" si="30"/>
        <v>1.068166304406402</v>
      </c>
      <c r="U97" s="129">
        <f>F97-лютий!F97</f>
        <v>5</v>
      </c>
      <c r="V97" s="174">
        <f>G97-лютий!G97</f>
        <v>0.29000000000041837</v>
      </c>
      <c r="W97" s="131">
        <f t="shared" si="34"/>
        <v>-4.709999999999582</v>
      </c>
      <c r="X97" s="151">
        <f>V97/U97</f>
        <v>0.05800000000008367</v>
      </c>
      <c r="Y97" s="197">
        <f t="shared" si="16"/>
        <v>-0.05675807588311166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5.22522</v>
      </c>
      <c r="G98" s="126">
        <v>3.78</v>
      </c>
      <c r="H98" s="112">
        <f t="shared" si="31"/>
        <v>-1.4452200000000004</v>
      </c>
      <c r="I98" s="213">
        <f>G98/F98</f>
        <v>0.7234145165179647</v>
      </c>
      <c r="J98" s="117">
        <f t="shared" si="35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2"/>
        <v>-18.547</v>
      </c>
      <c r="Q98" s="147">
        <f t="shared" si="33"/>
        <v>0.5114067439409905</v>
      </c>
      <c r="R98" s="131">
        <v>7.12</v>
      </c>
      <c r="S98" s="117">
        <f t="shared" si="29"/>
        <v>-3.3400000000000003</v>
      </c>
      <c r="T98" s="147">
        <f t="shared" si="30"/>
        <v>0.5308988764044944</v>
      </c>
      <c r="U98" s="112">
        <f>F98-лютий!F98</f>
        <v>1.7652200000000002</v>
      </c>
      <c r="V98" s="118">
        <f>G98-лютий!G98</f>
        <v>0</v>
      </c>
      <c r="W98" s="117">
        <f t="shared" si="34"/>
        <v>-1.7652200000000002</v>
      </c>
      <c r="X98" s="147">
        <f>V98/U98</f>
        <v>0</v>
      </c>
      <c r="Y98" s="197">
        <f t="shared" si="16"/>
        <v>0.019492132463503897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11659.40422</v>
      </c>
      <c r="G100" s="183">
        <f>G86+G87+G92+G97+G98</f>
        <v>4729.03</v>
      </c>
      <c r="H100" s="184">
        <f>G100-F100</f>
        <v>-6930.374220000001</v>
      </c>
      <c r="I100" s="217">
        <f>G100/F100</f>
        <v>0.4055979114171238</v>
      </c>
      <c r="J100" s="177">
        <f>G100-E100</f>
        <v>-47856.383</v>
      </c>
      <c r="K100" s="178">
        <f>G100/E100</f>
        <v>0.08993045276643544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3654.01</v>
      </c>
      <c r="S100" s="177">
        <f>G100-R100</f>
        <v>1075.0199999999995</v>
      </c>
      <c r="T100" s="178">
        <f t="shared" si="30"/>
        <v>1.294202807326745</v>
      </c>
      <c r="U100" s="183">
        <f>U86+U87+U92+U97+U98</f>
        <v>4008.76522</v>
      </c>
      <c r="V100" s="183">
        <f>V86+V87+V92+V97+V98</f>
        <v>1012.9400000000005</v>
      </c>
      <c r="W100" s="177">
        <f>V100-U100</f>
        <v>-2995.8252199999997</v>
      </c>
      <c r="X100" s="178">
        <f>V100/U100</f>
        <v>0.2526812982078308</v>
      </c>
      <c r="Y100" s="197">
        <f>T100-Q100</f>
        <v>-0.2272879322968333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1680503.113</v>
      </c>
      <c r="F101" s="183">
        <f>F79+F100</f>
        <v>383854.96122000006</v>
      </c>
      <c r="G101" s="183">
        <f>G79+G100</f>
        <v>287130.02</v>
      </c>
      <c r="H101" s="184">
        <f>G101-F101</f>
        <v>-96724.94122000004</v>
      </c>
      <c r="I101" s="217">
        <f>G101/F101</f>
        <v>0.7480169569449339</v>
      </c>
      <c r="J101" s="177">
        <f>G101-E101</f>
        <v>-1393373.0929999999</v>
      </c>
      <c r="K101" s="178">
        <f>G101/E101</f>
        <v>0.17085955853269522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311082.97000000003</v>
      </c>
      <c r="S101" s="177">
        <f>S79+S100</f>
        <v>-23952.95000000003</v>
      </c>
      <c r="T101" s="178">
        <f t="shared" si="30"/>
        <v>0.9230014102025579</v>
      </c>
      <c r="U101" s="184">
        <f>U79+U100</f>
        <v>127400.66522</v>
      </c>
      <c r="V101" s="184">
        <f>V79+V100</f>
        <v>34571.479999999996</v>
      </c>
      <c r="W101" s="177">
        <f>V101-U101</f>
        <v>-92829.18522</v>
      </c>
      <c r="X101" s="178">
        <f>V101/U101</f>
        <v>0.2713602785377983</v>
      </c>
      <c r="Y101" s="197">
        <f>T101-Q101</f>
        <v>-0.2492586890610764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15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0" t="s">
        <v>145</v>
      </c>
      <c r="C104" s="261"/>
      <c r="D104" s="4" t="s">
        <v>24</v>
      </c>
      <c r="F104" s="78"/>
      <c r="G104" s="261">
        <f>IF(H79&lt;0,ABS(H79/C103),0)</f>
        <v>5986.304466666669</v>
      </c>
      <c r="H104" s="262"/>
      <c r="I104" s="262"/>
      <c r="J104" s="262"/>
      <c r="V104" s="261">
        <f>IF(W79&lt;0,ABS(W79/C103),0)</f>
        <v>5988.890666666667</v>
      </c>
    </row>
    <row r="105" spans="2:7" ht="30.75">
      <c r="B105" s="263" t="s">
        <v>146</v>
      </c>
      <c r="C105" s="264">
        <v>43171</v>
      </c>
      <c r="D105" s="261"/>
      <c r="E105" s="261">
        <v>1588.3</v>
      </c>
      <c r="F105" s="78"/>
      <c r="G105" s="4" t="s">
        <v>147</v>
      </c>
    </row>
    <row r="106" spans="3:10" ht="15">
      <c r="C106" s="264">
        <v>43166</v>
      </c>
      <c r="D106" s="261"/>
      <c r="E106" s="261">
        <v>12476.1</v>
      </c>
      <c r="F106" s="78"/>
      <c r="G106" s="306"/>
      <c r="H106" s="306"/>
      <c r="I106" s="265"/>
      <c r="J106" s="266"/>
    </row>
    <row r="107" spans="3:10" ht="15">
      <c r="C107" s="264">
        <v>43165</v>
      </c>
      <c r="D107" s="261"/>
      <c r="E107" s="261">
        <v>6747.1</v>
      </c>
      <c r="F107" s="78"/>
      <c r="G107" s="306"/>
      <c r="H107" s="306"/>
      <c r="I107" s="265"/>
      <c r="J107" s="267"/>
    </row>
    <row r="108" spans="3:10" ht="15">
      <c r="C108" s="264"/>
      <c r="D108" s="4"/>
      <c r="F108" s="268"/>
      <c r="G108" s="307"/>
      <c r="H108" s="307"/>
      <c r="I108" s="269"/>
      <c r="J108" s="266"/>
    </row>
    <row r="109" spans="2:10" ht="16.5">
      <c r="B109" s="308" t="s">
        <v>148</v>
      </c>
      <c r="C109" s="309"/>
      <c r="D109" s="270"/>
      <c r="E109" s="273">
        <v>1.88294</v>
      </c>
      <c r="F109" s="271" t="s">
        <v>149</v>
      </c>
      <c r="G109" s="306"/>
      <c r="H109" s="306"/>
      <c r="I109" s="272"/>
      <c r="J109" s="266"/>
    </row>
  </sheetData>
  <sheetProtection/>
  <mergeCells count="27">
    <mergeCell ref="G106:H106"/>
    <mergeCell ref="G107:H107"/>
    <mergeCell ref="G108:H108"/>
    <mergeCell ref="B109:C109"/>
    <mergeCell ref="G109:H109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.3937007874015748" right="0" top="0" bottom="0" header="0" footer="0"/>
  <pageSetup fitToHeight="3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9"/>
  <sheetViews>
    <sheetView zoomScale="78" zoomScaleNormal="78" zoomScalePageLayoutView="0" workbookViewId="0" topLeftCell="B1">
      <pane xSplit="2" ySplit="8" topLeftCell="D9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13" sqref="B11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2.50390625" style="186" customWidth="1"/>
    <col min="26" max="16384" width="9.125" style="4" customWidth="1"/>
  </cols>
  <sheetData>
    <row r="1" spans="1:25" s="1" customFormat="1" ht="26.25" customHeight="1">
      <c r="A1" s="276" t="s">
        <v>154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186"/>
    </row>
    <row r="2" spans="2:25" s="1" customFormat="1" ht="15.75" customHeight="1">
      <c r="B2" s="277"/>
      <c r="C2" s="277"/>
      <c r="D2" s="277"/>
      <c r="E2" s="277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278"/>
      <c r="B3" s="280"/>
      <c r="C3" s="281" t="s">
        <v>0</v>
      </c>
      <c r="D3" s="282" t="s">
        <v>131</v>
      </c>
      <c r="E3" s="282" t="s">
        <v>131</v>
      </c>
      <c r="F3" s="25"/>
      <c r="G3" s="283" t="s">
        <v>26</v>
      </c>
      <c r="H3" s="284"/>
      <c r="I3" s="284"/>
      <c r="J3" s="284"/>
      <c r="K3" s="285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286" t="s">
        <v>141</v>
      </c>
      <c r="V3" s="289" t="s">
        <v>136</v>
      </c>
      <c r="W3" s="289"/>
      <c r="X3" s="289"/>
      <c r="Y3" s="194"/>
    </row>
    <row r="4" spans="1:24" ht="22.5" customHeight="1">
      <c r="A4" s="278"/>
      <c r="B4" s="280"/>
      <c r="C4" s="281"/>
      <c r="D4" s="282"/>
      <c r="E4" s="282"/>
      <c r="F4" s="290" t="s">
        <v>139</v>
      </c>
      <c r="G4" s="292" t="s">
        <v>31</v>
      </c>
      <c r="H4" s="294" t="s">
        <v>129</v>
      </c>
      <c r="I4" s="287" t="s">
        <v>130</v>
      </c>
      <c r="J4" s="294" t="s">
        <v>132</v>
      </c>
      <c r="K4" s="287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87"/>
      <c r="V4" s="296" t="s">
        <v>155</v>
      </c>
      <c r="W4" s="294" t="s">
        <v>44</v>
      </c>
      <c r="X4" s="298" t="s">
        <v>43</v>
      </c>
    </row>
    <row r="5" spans="1:24" ht="67.5" customHeight="1">
      <c r="A5" s="279"/>
      <c r="B5" s="280"/>
      <c r="C5" s="281"/>
      <c r="D5" s="282"/>
      <c r="E5" s="282"/>
      <c r="F5" s="291"/>
      <c r="G5" s="293"/>
      <c r="H5" s="295"/>
      <c r="I5" s="288"/>
      <c r="J5" s="295"/>
      <c r="K5" s="288"/>
      <c r="L5" s="299" t="s">
        <v>135</v>
      </c>
      <c r="M5" s="300"/>
      <c r="N5" s="301"/>
      <c r="O5" s="302" t="s">
        <v>153</v>
      </c>
      <c r="P5" s="303"/>
      <c r="Q5" s="304"/>
      <c r="R5" s="305" t="s">
        <v>152</v>
      </c>
      <c r="S5" s="305"/>
      <c r="T5" s="305"/>
      <c r="U5" s="288"/>
      <c r="V5" s="297"/>
      <c r="W5" s="295"/>
      <c r="X5" s="29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 aca="true" t="shared" si="0" ref="I8:I15">G8/F8</f>
        <v>1.0005397097259996</v>
      </c>
      <c r="J8" s="104">
        <f aca="true" t="shared" si="1" ref="J8:J52">G8-E8</f>
        <v>-1338741.8800000001</v>
      </c>
      <c r="K8" s="156">
        <f aca="true" t="shared" si="2" ref="K8:K14">G8/E8</f>
        <v>0.1530347636498726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47060.45999999999</v>
      </c>
      <c r="T8" s="143">
        <f aca="true" t="shared" si="6" ref="T8:T20">G8/R8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 aca="true" t="shared" si="7" ref="X8:X15">V8/U8</f>
        <v>1.0010058240519362</v>
      </c>
      <c r="Y8" s="199">
        <f aca="true" t="shared" si="8" ref="Y8:Y22">T8-Q8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 t="shared" si="0"/>
        <v>1.0078172006300288</v>
      </c>
      <c r="J9" s="108">
        <f t="shared" si="1"/>
        <v>-816124.13</v>
      </c>
      <c r="K9" s="148">
        <f t="shared" si="2"/>
        <v>0.1464949074621184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38192.92999999999</v>
      </c>
      <c r="T9" s="144">
        <f t="shared" si="6"/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 t="shared" si="7"/>
        <v>1.0144563149421921</v>
      </c>
      <c r="Y9" s="200">
        <f t="shared" si="8"/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 aca="true" t="shared" si="9" ref="H10:H47">G10-F10</f>
        <v>10.75</v>
      </c>
      <c r="I10" s="209">
        <f t="shared" si="0"/>
        <v>1.0000841298275847</v>
      </c>
      <c r="J10" s="72">
        <f t="shared" si="1"/>
        <v>-754013.55</v>
      </c>
      <c r="K10" s="75">
        <f t="shared" si="2"/>
        <v>0.1449183661203239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35062.81</v>
      </c>
      <c r="T10" s="145">
        <f t="shared" si="6"/>
        <v>1.3781309233247316</v>
      </c>
      <c r="U10" s="73">
        <f>F10-січень!F10</f>
        <v>68800</v>
      </c>
      <c r="V10" s="98">
        <f>G10-січень!G10</f>
        <v>68810.76</v>
      </c>
      <c r="W10" s="74">
        <f aca="true" t="shared" si="10" ref="W10:W52">V10-U10</f>
        <v>10.759999999994761</v>
      </c>
      <c r="X10" s="75">
        <f t="shared" si="7"/>
        <v>1.000156395348837</v>
      </c>
      <c r="Y10" s="198">
        <f t="shared" si="8"/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7084.7</v>
      </c>
      <c r="G11" s="94">
        <v>7687.4</v>
      </c>
      <c r="H11" s="71">
        <f t="shared" si="9"/>
        <v>602.6999999999998</v>
      </c>
      <c r="I11" s="209">
        <f t="shared" si="0"/>
        <v>1.0850706451931627</v>
      </c>
      <c r="J11" s="72">
        <f t="shared" si="1"/>
        <v>-42212.6</v>
      </c>
      <c r="K11" s="75">
        <f t="shared" si="2"/>
        <v>0.1540561122244489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1792.1399999999994</v>
      </c>
      <c r="T11" s="145">
        <f t="shared" si="6"/>
        <v>1.3039967702866369</v>
      </c>
      <c r="U11" s="73">
        <f>F11-січень!F11</f>
        <v>3600</v>
      </c>
      <c r="V11" s="98">
        <f>G11-січень!G11</f>
        <v>4202.7</v>
      </c>
      <c r="W11" s="74">
        <f t="shared" si="10"/>
        <v>602.6999999999998</v>
      </c>
      <c r="X11" s="75">
        <f t="shared" si="7"/>
        <v>1.1674166666666665</v>
      </c>
      <c r="Y11" s="198">
        <f t="shared" si="8"/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1464.409</v>
      </c>
      <c r="G12" s="94">
        <v>1592.92</v>
      </c>
      <c r="H12" s="71">
        <f t="shared" si="9"/>
        <v>128.51099999999997</v>
      </c>
      <c r="I12" s="209">
        <f t="shared" si="0"/>
        <v>1.087756221110359</v>
      </c>
      <c r="J12" s="72">
        <f t="shared" si="1"/>
        <v>-10407.08</v>
      </c>
      <c r="K12" s="75">
        <f t="shared" si="2"/>
        <v>0.13274333333333335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555.5</v>
      </c>
      <c r="T12" s="145">
        <f t="shared" si="6"/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 t="shared" si="10"/>
        <v>128.52999999999997</v>
      </c>
      <c r="X12" s="75">
        <f t="shared" si="7"/>
        <v>1.1785138888888889</v>
      </c>
      <c r="Y12" s="198">
        <f t="shared" si="8"/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2485.9</v>
      </c>
      <c r="G13" s="94">
        <v>2701.47</v>
      </c>
      <c r="H13" s="71">
        <f t="shared" si="9"/>
        <v>215.5699999999997</v>
      </c>
      <c r="I13" s="209">
        <f t="shared" si="0"/>
        <v>1.0867170843557663</v>
      </c>
      <c r="J13" s="72">
        <f t="shared" si="1"/>
        <v>-9298.53</v>
      </c>
      <c r="K13" s="75">
        <f t="shared" si="2"/>
        <v>0.22512249999999998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673.1499999999999</v>
      </c>
      <c r="T13" s="145">
        <f t="shared" si="6"/>
        <v>1.331875640924509</v>
      </c>
      <c r="U13" s="73">
        <f>F13-січень!F13</f>
        <v>2010</v>
      </c>
      <c r="V13" s="98">
        <f>G13-січень!G13</f>
        <v>2225.6</v>
      </c>
      <c r="W13" s="74">
        <f t="shared" si="10"/>
        <v>215.5999999999999</v>
      </c>
      <c r="X13" s="75">
        <f t="shared" si="7"/>
        <v>1.1072636815920398</v>
      </c>
      <c r="Y13" s="198">
        <f t="shared" si="8"/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178.63</v>
      </c>
      <c r="G14" s="94">
        <v>307.62</v>
      </c>
      <c r="H14" s="71">
        <f t="shared" si="9"/>
        <v>128.99</v>
      </c>
      <c r="I14" s="209">
        <f t="shared" si="0"/>
        <v>1.7221071488551756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109.31</v>
      </c>
      <c r="T14" s="145">
        <f t="shared" si="6"/>
        <v>1.551207705108164</v>
      </c>
      <c r="U14" s="73">
        <f>F14-січень!F14</f>
        <v>33</v>
      </c>
      <c r="V14" s="98">
        <f>G14-січень!G14</f>
        <v>161.99</v>
      </c>
      <c r="W14" s="74">
        <f t="shared" si="10"/>
        <v>128.99</v>
      </c>
      <c r="X14" s="75">
        <f t="shared" si="7"/>
        <v>4.908787878787879</v>
      </c>
      <c r="Y14" s="198">
        <f t="shared" si="8"/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10</v>
      </c>
      <c r="G15" s="106">
        <v>119.53</v>
      </c>
      <c r="H15" s="102">
        <f t="shared" si="9"/>
        <v>109.53</v>
      </c>
      <c r="I15" s="208">
        <f t="shared" si="0"/>
        <v>11.953</v>
      </c>
      <c r="J15" s="108">
        <f t="shared" si="1"/>
        <v>-780.47</v>
      </c>
      <c r="K15" s="108">
        <f aca="true" t="shared" si="11" ref="K15:K23">G15/E15*100</f>
        <v>13.28111111111111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105.62</v>
      </c>
      <c r="T15" s="146">
        <f t="shared" si="6"/>
        <v>8.593098490294752</v>
      </c>
      <c r="U15" s="107">
        <f>F15-січень!F15</f>
        <v>10</v>
      </c>
      <c r="V15" s="110">
        <f>G15-січень!G15</f>
        <v>119.53</v>
      </c>
      <c r="W15" s="111">
        <f t="shared" si="10"/>
        <v>109.53</v>
      </c>
      <c r="X15" s="148">
        <f t="shared" si="7"/>
        <v>11.953</v>
      </c>
      <c r="Y15" s="197">
        <f t="shared" si="8"/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 t="shared" si="9"/>
        <v>-537.4300000000003</v>
      </c>
      <c r="I19" s="208">
        <f t="shared" si="12"/>
        <v>0.9407202735495257</v>
      </c>
      <c r="J19" s="108">
        <f t="shared" si="1"/>
        <v>-143199.43</v>
      </c>
      <c r="K19" s="108">
        <f t="shared" si="11"/>
        <v>5.620959875566803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-5177.34</v>
      </c>
      <c r="T19" s="146">
        <f t="shared" si="6"/>
        <v>0.6222549250651725</v>
      </c>
      <c r="U19" s="107">
        <f>F19-січень!F19</f>
        <v>4076.42</v>
      </c>
      <c r="V19" s="110">
        <f>G19-січень!G19</f>
        <v>3538.99</v>
      </c>
      <c r="W19" s="111">
        <f t="shared" si="10"/>
        <v>-537.4300000000003</v>
      </c>
      <c r="X19" s="148">
        <f t="shared" si="13"/>
        <v>0.868161278769116</v>
      </c>
      <c r="Y19" s="197">
        <f t="shared" si="8"/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9066</v>
      </c>
      <c r="G20" s="141">
        <v>8528.57</v>
      </c>
      <c r="H20" s="170">
        <f t="shared" si="9"/>
        <v>-537.4300000000003</v>
      </c>
      <c r="I20" s="211">
        <f t="shared" si="12"/>
        <v>0.9407202735495257</v>
      </c>
      <c r="J20" s="171">
        <f t="shared" si="1"/>
        <v>-58179.43</v>
      </c>
      <c r="K20" s="171">
        <f t="shared" si="11"/>
        <v>12.784928344426454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-5177.34</v>
      </c>
      <c r="T20" s="172">
        <f t="shared" si="6"/>
        <v>0.6222549250651725</v>
      </c>
      <c r="U20" s="136">
        <f>F20-січень!F20</f>
        <v>4076.42</v>
      </c>
      <c r="V20" s="124">
        <f>G20-січень!G20</f>
        <v>3538.99</v>
      </c>
      <c r="W20" s="116">
        <f t="shared" si="10"/>
        <v>-537.4300000000003</v>
      </c>
      <c r="X20" s="180">
        <f t="shared" si="13"/>
        <v>0.868161278769116</v>
      </c>
      <c r="Y20" s="197">
        <f t="shared" si="8"/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 t="shared" si="9"/>
        <v>-602.3899999999994</v>
      </c>
      <c r="I23" s="208">
        <f t="shared" si="12"/>
        <v>0.993562359267781</v>
      </c>
      <c r="J23" s="108">
        <f t="shared" si="1"/>
        <v>-378596.48999999993</v>
      </c>
      <c r="K23" s="108">
        <f t="shared" si="11"/>
        <v>19.71526221501411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13863.470000000001</v>
      </c>
      <c r="T23" s="147">
        <f aca="true" t="shared" si="14" ref="T23:T41">G23/R23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 t="shared" si="10"/>
        <v>-602.4300000000003</v>
      </c>
      <c r="X23" s="148">
        <f t="shared" si="13"/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 t="shared" si="9"/>
        <v>-784.489999999998</v>
      </c>
      <c r="I24" s="208">
        <f t="shared" si="12"/>
        <v>0.9767161900374891</v>
      </c>
      <c r="J24" s="108">
        <f t="shared" si="1"/>
        <v>-183933.97999999998</v>
      </c>
      <c r="K24" s="148">
        <f aca="true" t="shared" si="15" ref="K24:K41">G24/E24</f>
        <v>0.1517603600778447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1452.9700000000048</v>
      </c>
      <c r="T24" s="147">
        <f t="shared" si="14"/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 t="shared" si="10"/>
        <v>-785.3999999999978</v>
      </c>
      <c r="X24" s="148">
        <f t="shared" si="13"/>
        <v>0.9494627115372243</v>
      </c>
      <c r="Y24" s="197">
        <f aca="true" t="shared" si="16" ref="Y24:Y99">T24-Q24</f>
        <v>-0.0001860979112959793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 t="shared" si="9"/>
        <v>131.52000000000044</v>
      </c>
      <c r="I25" s="211">
        <f t="shared" si="12"/>
        <v>1.0242612064194798</v>
      </c>
      <c r="J25" s="171">
        <f t="shared" si="1"/>
        <v>-23231.48</v>
      </c>
      <c r="K25" s="180">
        <f t="shared" si="15"/>
        <v>0.1929030016675931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1144.3100000000004</v>
      </c>
      <c r="T25" s="152">
        <f t="shared" si="14"/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 t="shared" si="10"/>
        <v>130.6300000000001</v>
      </c>
      <c r="X25" s="180">
        <f t="shared" si="13"/>
        <v>1.167474358974359</v>
      </c>
      <c r="Y25" s="197">
        <f t="shared" si="16"/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 t="shared" si="9"/>
        <v>118.24000000000001</v>
      </c>
      <c r="I26" s="212">
        <f t="shared" si="12"/>
        <v>1.606017118548511</v>
      </c>
      <c r="J26" s="176">
        <f t="shared" si="1"/>
        <v>-1208.65</v>
      </c>
      <c r="K26" s="191">
        <f t="shared" si="15"/>
        <v>0.205880420499343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163.12000000000003</v>
      </c>
      <c r="T26" s="162">
        <f t="shared" si="14"/>
        <v>2.0858017706183856</v>
      </c>
      <c r="U26" s="167">
        <f>F26-січень!F26</f>
        <v>40</v>
      </c>
      <c r="V26" s="167">
        <f>G26-січень!G26</f>
        <v>158.24</v>
      </c>
      <c r="W26" s="176">
        <f t="shared" si="10"/>
        <v>118.24000000000001</v>
      </c>
      <c r="X26" s="191">
        <f aca="true" t="shared" si="17" ref="X26:X35">V26/U26</f>
        <v>3.9560000000000004</v>
      </c>
      <c r="Y26" s="197">
        <f t="shared" si="16"/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 t="shared" si="9"/>
        <v>13.279999999998836</v>
      </c>
      <c r="I27" s="212">
        <f t="shared" si="12"/>
        <v>1.0025411939401707</v>
      </c>
      <c r="J27" s="176">
        <f t="shared" si="1"/>
        <v>-22022.83</v>
      </c>
      <c r="K27" s="191">
        <f t="shared" si="15"/>
        <v>0.19217849020614772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981.1899999999987</v>
      </c>
      <c r="T27" s="162">
        <f t="shared" si="14"/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 t="shared" si="10"/>
        <v>12.3799999999992</v>
      </c>
      <c r="X27" s="191">
        <f t="shared" si="17"/>
        <v>1.0167297297297286</v>
      </c>
      <c r="Y27" s="197">
        <f t="shared" si="16"/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59.3</v>
      </c>
      <c r="G28" s="206">
        <v>74.16</v>
      </c>
      <c r="H28" s="218">
        <f t="shared" si="9"/>
        <v>14.86</v>
      </c>
      <c r="I28" s="220">
        <f t="shared" si="12"/>
        <v>1.2505902192242833</v>
      </c>
      <c r="J28" s="221">
        <f t="shared" si="1"/>
        <v>-241.84</v>
      </c>
      <c r="K28" s="222">
        <f t="shared" si="15"/>
        <v>0.23468354430379745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-54.81</v>
      </c>
      <c r="T28" s="222">
        <f t="shared" si="14"/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 t="shared" si="10"/>
        <v>14.860000000000003</v>
      </c>
      <c r="X28" s="222">
        <f t="shared" si="17"/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135.81</v>
      </c>
      <c r="G29" s="206">
        <v>239.19</v>
      </c>
      <c r="H29" s="218">
        <f t="shared" si="9"/>
        <v>103.38</v>
      </c>
      <c r="I29" s="220">
        <f t="shared" si="12"/>
        <v>1.76121051468964</v>
      </c>
      <c r="J29" s="221">
        <f t="shared" si="1"/>
        <v>-966.81</v>
      </c>
      <c r="K29" s="222">
        <f t="shared" si="15"/>
        <v>0.19833333333333333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217.93</v>
      </c>
      <c r="T29" s="222">
        <f t="shared" si="14"/>
        <v>11.250705550329256</v>
      </c>
      <c r="U29" s="206">
        <f>F29-січень!F29</f>
        <v>10</v>
      </c>
      <c r="V29" s="206">
        <f>G29-січень!G29</f>
        <v>113.38</v>
      </c>
      <c r="W29" s="221">
        <f t="shared" si="10"/>
        <v>103.38</v>
      </c>
      <c r="X29" s="222">
        <f t="shared" si="17"/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300.09</v>
      </c>
      <c r="G30" s="206">
        <v>465.94</v>
      </c>
      <c r="H30" s="218">
        <f t="shared" si="9"/>
        <v>165.85000000000002</v>
      </c>
      <c r="I30" s="220">
        <f t="shared" si="12"/>
        <v>1.5526675330734114</v>
      </c>
      <c r="J30" s="221">
        <f t="shared" si="1"/>
        <v>-1889.06</v>
      </c>
      <c r="K30" s="222">
        <f t="shared" si="15"/>
        <v>0.19785138004246283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423.3</v>
      </c>
      <c r="T30" s="222">
        <f t="shared" si="14"/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 t="shared" si="10"/>
        <v>164.95000000000005</v>
      </c>
      <c r="X30" s="222">
        <f t="shared" si="17"/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4925.8</v>
      </c>
      <c r="G31" s="206">
        <v>4773.23</v>
      </c>
      <c r="H31" s="218">
        <f t="shared" si="9"/>
        <v>-152.57000000000062</v>
      </c>
      <c r="I31" s="220">
        <f t="shared" si="12"/>
        <v>0.9690263510495756</v>
      </c>
      <c r="J31" s="221">
        <f t="shared" si="1"/>
        <v>-20133.77</v>
      </c>
      <c r="K31" s="222">
        <f t="shared" si="15"/>
        <v>0.19164210864415623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557.8899999999994</v>
      </c>
      <c r="T31" s="222">
        <f t="shared" si="14"/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 t="shared" si="10"/>
        <v>-152.57000000000062</v>
      </c>
      <c r="X31" s="222">
        <f t="shared" si="17"/>
        <v>0.7880972222222213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 t="shared" si="9"/>
        <v>106.78999999999999</v>
      </c>
      <c r="I32" s="211">
        <f t="shared" si="12"/>
        <v>1.671508520404955</v>
      </c>
      <c r="J32" s="171">
        <f t="shared" si="1"/>
        <v>-16.180000000000007</v>
      </c>
      <c r="K32" s="180">
        <f t="shared" si="15"/>
        <v>0.9426241134751773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186.64999999999998</v>
      </c>
      <c r="T32" s="150">
        <f t="shared" si="14"/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 t="shared" si="10"/>
        <v>106.78999999999999</v>
      </c>
      <c r="X32" s="180">
        <f t="shared" si="17"/>
        <v>54.394999999999996</v>
      </c>
      <c r="Y32" s="198">
        <f t="shared" si="16"/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60.84</v>
      </c>
      <c r="H33" s="71">
        <f t="shared" si="9"/>
        <v>32.99</v>
      </c>
      <c r="I33" s="209">
        <f t="shared" si="12"/>
        <v>2.184560143626571</v>
      </c>
      <c r="J33" s="72">
        <f t="shared" si="1"/>
        <v>-39.16</v>
      </c>
      <c r="K33" s="75">
        <f t="shared" si="15"/>
        <v>0.6084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35.84</v>
      </c>
      <c r="T33" s="75">
        <f t="shared" si="14"/>
        <v>2.4336</v>
      </c>
      <c r="U33" s="73">
        <f>F33-січень!F33</f>
        <v>0</v>
      </c>
      <c r="V33" s="98">
        <f>G33-січень!G33</f>
        <v>32.99</v>
      </c>
      <c r="W33" s="74">
        <f t="shared" si="10"/>
        <v>32.99</v>
      </c>
      <c r="X33" s="75" t="e">
        <f t="shared" si="17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131.18</v>
      </c>
      <c r="G34" s="94">
        <v>204.98</v>
      </c>
      <c r="H34" s="71">
        <f t="shared" si="9"/>
        <v>73.79999999999998</v>
      </c>
      <c r="I34" s="209">
        <f t="shared" si="12"/>
        <v>1.5625857600243938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150.81</v>
      </c>
      <c r="T34" s="75">
        <f t="shared" si="14"/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 t="shared" si="17"/>
        <v>37.89999999999999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 t="shared" si="9"/>
        <v>-1022.7999999999993</v>
      </c>
      <c r="I35" s="211">
        <f t="shared" si="12"/>
        <v>0.9636175819422549</v>
      </c>
      <c r="J35" s="171">
        <f t="shared" si="1"/>
        <v>-160686.32</v>
      </c>
      <c r="K35" s="180">
        <f t="shared" si="15"/>
        <v>0.14426593387866393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122.01000000000204</v>
      </c>
      <c r="T35" s="149">
        <f t="shared" si="14"/>
        <v>1.0045243063267981</v>
      </c>
      <c r="U35" s="136">
        <f>F35-січень!F35</f>
        <v>14759</v>
      </c>
      <c r="V35" s="124">
        <f>G35-січень!G35</f>
        <v>13736.18</v>
      </c>
      <c r="W35" s="116">
        <f t="shared" si="10"/>
        <v>-1022.8199999999997</v>
      </c>
      <c r="X35" s="180">
        <f t="shared" si="17"/>
        <v>0.9306985568127922</v>
      </c>
      <c r="Y35" s="198">
        <f t="shared" si="16"/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v>4326.71</v>
      </c>
      <c r="H36" s="158">
        <f t="shared" si="9"/>
        <v>-4899.5199999999995</v>
      </c>
      <c r="I36" s="212">
        <f t="shared" si="12"/>
        <v>0.468957526530338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-4532.499999999999</v>
      </c>
      <c r="T36" s="162">
        <f t="shared" si="14"/>
        <v>0.4883855332473212</v>
      </c>
      <c r="U36" s="167">
        <f>F36-січень!F36</f>
        <v>5159</v>
      </c>
      <c r="V36" s="167">
        <f>G36-січень!G36</f>
        <v>259.47000000000025</v>
      </c>
      <c r="W36" s="176">
        <f t="shared" si="10"/>
        <v>-4899.53</v>
      </c>
      <c r="X36" s="191">
        <f aca="true" t="shared" si="19" ref="X36:X41">V36/U36*100</f>
        <v>5.029463074239199</v>
      </c>
      <c r="Y36" s="197">
        <f t="shared" si="16"/>
        <v>-0.5471266127351511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18969.66</v>
      </c>
      <c r="H37" s="158">
        <f t="shared" si="9"/>
        <v>83.40999999999985</v>
      </c>
      <c r="I37" s="212">
        <f t="shared" si="12"/>
        <v>1.0044164405321332</v>
      </c>
      <c r="J37" s="176">
        <f t="shared" si="1"/>
        <v>-108116.34</v>
      </c>
      <c r="K37" s="191">
        <f t="shared" si="15"/>
        <v>0.1492663235918984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861.2099999999991</v>
      </c>
      <c r="T37" s="162">
        <f t="shared" si="14"/>
        <v>1.047558460276832</v>
      </c>
      <c r="U37" s="167">
        <f>F37-січень!F37</f>
        <v>9600</v>
      </c>
      <c r="V37" s="167">
        <f>G37-січень!G37</f>
        <v>9683.4</v>
      </c>
      <c r="W37" s="176">
        <f t="shared" si="10"/>
        <v>83.39999999999964</v>
      </c>
      <c r="X37" s="191">
        <f>V37/U37</f>
        <v>1.0086875</v>
      </c>
      <c r="Y37" s="197">
        <f t="shared" si="16"/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8884.4</v>
      </c>
      <c r="G38" s="206">
        <v>7954.81</v>
      </c>
      <c r="H38" s="218">
        <f t="shared" si="9"/>
        <v>-929.5899999999992</v>
      </c>
      <c r="I38" s="220">
        <f t="shared" si="12"/>
        <v>0.8953682859844222</v>
      </c>
      <c r="J38" s="221">
        <f t="shared" si="1"/>
        <v>-49335.19</v>
      </c>
      <c r="K38" s="222">
        <f t="shared" si="15"/>
        <v>0.13885163204747775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-691.0699999999988</v>
      </c>
      <c r="T38" s="222">
        <f t="shared" si="14"/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 t="shared" si="10"/>
        <v>-929.5999999999995</v>
      </c>
      <c r="X38" s="222">
        <f t="shared" si="19"/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15793.45</v>
      </c>
      <c r="G39" s="206">
        <v>15859.42</v>
      </c>
      <c r="H39" s="218">
        <f t="shared" si="9"/>
        <v>65.96999999999935</v>
      </c>
      <c r="I39" s="220">
        <f t="shared" si="12"/>
        <v>1.0041770480800585</v>
      </c>
      <c r="J39" s="221">
        <f t="shared" si="1"/>
        <v>-90126.58</v>
      </c>
      <c r="K39" s="222">
        <f t="shared" si="15"/>
        <v>0.14963693317985394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876.6200000000008</v>
      </c>
      <c r="T39" s="222">
        <f t="shared" si="14"/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 t="shared" si="10"/>
        <v>65.96999999999935</v>
      </c>
      <c r="X39" s="222">
        <f t="shared" si="19"/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341.83</v>
      </c>
      <c r="G40" s="206">
        <v>165.21</v>
      </c>
      <c r="H40" s="218">
        <f t="shared" si="9"/>
        <v>-176.61999999999998</v>
      </c>
      <c r="I40" s="220">
        <f t="shared" si="12"/>
        <v>0.48331041745897085</v>
      </c>
      <c r="J40" s="221">
        <f t="shared" si="1"/>
        <v>-3234.79</v>
      </c>
      <c r="K40" s="222">
        <f t="shared" si="15"/>
        <v>0.048591176470588235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-48.120000000000005</v>
      </c>
      <c r="T40" s="222">
        <f t="shared" si="14"/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 t="shared" si="10"/>
        <v>-176.62</v>
      </c>
      <c r="X40" s="222">
        <f t="shared" si="19"/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3092.8</v>
      </c>
      <c r="G41" s="206">
        <v>3110.24</v>
      </c>
      <c r="H41" s="218">
        <f t="shared" si="9"/>
        <v>17.4399999999996</v>
      </c>
      <c r="I41" s="220">
        <f t="shared" si="12"/>
        <v>1.0056389032591826</v>
      </c>
      <c r="J41" s="221">
        <f t="shared" si="1"/>
        <v>-17989.760000000002</v>
      </c>
      <c r="K41" s="222">
        <f t="shared" si="15"/>
        <v>0.14740473933649287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-15.41000000000031</v>
      </c>
      <c r="T41" s="222">
        <f t="shared" si="14"/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 t="shared" si="10"/>
        <v>17.42999999999961</v>
      </c>
      <c r="X41" s="222">
        <f t="shared" si="19"/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 t="shared" si="9"/>
        <v>9.700000000000003</v>
      </c>
      <c r="I43" s="208">
        <f>G43/F43</f>
        <v>1.2991057662658034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7.93</v>
      </c>
      <c r="T43" s="148">
        <f aca="true" t="shared" si="20" ref="T43:T51">G43/R43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 t="shared" si="10"/>
        <v>9.700000000000003</v>
      </c>
      <c r="X43" s="148">
        <f>V43/U43</f>
        <v>1.4409090909090911</v>
      </c>
      <c r="Y43" s="197">
        <f t="shared" si="16"/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24.9</v>
      </c>
      <c r="G44" s="94">
        <v>33.8</v>
      </c>
      <c r="H44" s="71">
        <f t="shared" si="9"/>
        <v>8.899999999999999</v>
      </c>
      <c r="I44" s="209">
        <f>G44/F44</f>
        <v>1.357429718875502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13.939999999999998</v>
      </c>
      <c r="T44" s="75">
        <f t="shared" si="20"/>
        <v>1.701913393756294</v>
      </c>
      <c r="U44" s="73">
        <f>F44-січень!F44</f>
        <v>14.999999999999998</v>
      </c>
      <c r="V44" s="98">
        <f>G44-січень!G44</f>
        <v>23.9</v>
      </c>
      <c r="W44" s="74">
        <f t="shared" si="10"/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20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20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 t="shared" si="9"/>
        <v>174.73999999999796</v>
      </c>
      <c r="I47" s="208">
        <f>G47/F47</f>
        <v>1.0029197221769224</v>
      </c>
      <c r="J47" s="108">
        <f t="shared" si="1"/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12394.340000000004</v>
      </c>
      <c r="T47" s="160">
        <f t="shared" si="20"/>
        <v>1.260229156623673</v>
      </c>
      <c r="U47" s="107">
        <f>F47-січень!F47</f>
        <v>34802</v>
      </c>
      <c r="V47" s="110">
        <f>G47-січень!G47</f>
        <v>34976.7</v>
      </c>
      <c r="W47" s="111">
        <f t="shared" si="10"/>
        <v>174.6999999999971</v>
      </c>
      <c r="X47" s="148">
        <f>V47/U47</f>
        <v>1.0050198264467558</v>
      </c>
      <c r="Y47" s="197">
        <f t="shared" si="16"/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20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 t="shared" si="1"/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3837.6799999999985</v>
      </c>
      <c r="T49" s="153">
        <f t="shared" si="20"/>
        <v>1.393368149693264</v>
      </c>
      <c r="U49" s="73">
        <f>F49-січень!F49</f>
        <v>9700</v>
      </c>
      <c r="V49" s="98">
        <f>G49-січень!G49</f>
        <v>9709.759999999998</v>
      </c>
      <c r="W49" s="74">
        <f t="shared" si="10"/>
        <v>9.7599999999984</v>
      </c>
      <c r="X49" s="75">
        <f>V49/U49</f>
        <v>1.00100618556701</v>
      </c>
      <c r="Y49" s="197">
        <f t="shared" si="16"/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 t="shared" si="1"/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8550.940000000002</v>
      </c>
      <c r="T50" s="153">
        <f t="shared" si="20"/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 t="shared" si="10"/>
        <v>166.95000000000437</v>
      </c>
      <c r="X50" s="75">
        <f>V50/U50</f>
        <v>1.006651394422311</v>
      </c>
      <c r="Y50" s="197">
        <f t="shared" si="16"/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20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 aca="true" t="shared" si="21" ref="I53:I72">G53/F53</f>
        <v>0.987226581355141</v>
      </c>
      <c r="J53" s="104">
        <f>G53-E53</f>
        <v>-40303.22</v>
      </c>
      <c r="K53" s="156">
        <f aca="true" t="shared" si="22" ref="K53:K72">G53/E53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 t="shared" si="16"/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55.49</v>
      </c>
      <c r="H54" s="102">
        <f aca="true" t="shared" si="23" ref="H54:H78">G54-F54</f>
        <v>49.38</v>
      </c>
      <c r="I54" s="213">
        <f t="shared" si="21"/>
        <v>9.081833060556464</v>
      </c>
      <c r="J54" s="115">
        <f>G54-E54</f>
        <v>-2594.51</v>
      </c>
      <c r="K54" s="155">
        <f t="shared" si="22"/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 aca="true" t="shared" si="24" ref="W54:W78">V54-U54</f>
        <v>49.38</v>
      </c>
      <c r="X54" s="155">
        <f>V54/U54</f>
        <v>10.876000000000001</v>
      </c>
      <c r="Y54" s="197">
        <f t="shared" si="16"/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280.078</v>
      </c>
      <c r="G55" s="106">
        <v>280.08</v>
      </c>
      <c r="H55" s="102">
        <f t="shared" si="23"/>
        <v>0.0020000000000095497</v>
      </c>
      <c r="I55" s="213">
        <f t="shared" si="21"/>
        <v>1.0000071408679012</v>
      </c>
      <c r="J55" s="115">
        <f aca="true" t="shared" si="25" ref="J55:J78">G55-E55</f>
        <v>-4719.92</v>
      </c>
      <c r="K55" s="155">
        <f t="shared" si="22"/>
        <v>0.056015999999999996</v>
      </c>
      <c r="L55" s="115"/>
      <c r="M55" s="115"/>
      <c r="N55" s="115"/>
      <c r="O55" s="115">
        <v>27997.6</v>
      </c>
      <c r="P55" s="115">
        <f aca="true" t="shared" si="26" ref="P55:P72">E55-O55</f>
        <v>-22997.6</v>
      </c>
      <c r="Q55" s="155">
        <f aca="true" t="shared" si="27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8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4"/>
        <v>0.0020000000000095497</v>
      </c>
      <c r="X55" s="155">
        <f aca="true" t="shared" si="29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14</v>
      </c>
      <c r="G56" s="106">
        <v>13.23</v>
      </c>
      <c r="H56" s="102">
        <f t="shared" si="23"/>
        <v>-0.7699999999999996</v>
      </c>
      <c r="I56" s="213">
        <f t="shared" si="21"/>
        <v>0.9450000000000001</v>
      </c>
      <c r="J56" s="115">
        <f t="shared" si="25"/>
        <v>-144.77</v>
      </c>
      <c r="K56" s="155">
        <f t="shared" si="22"/>
        <v>0.08373417721518987</v>
      </c>
      <c r="L56" s="115"/>
      <c r="M56" s="115"/>
      <c r="N56" s="115"/>
      <c r="O56" s="115">
        <v>153.3</v>
      </c>
      <c r="P56" s="115">
        <f t="shared" si="26"/>
        <v>4.699999999999989</v>
      </c>
      <c r="Q56" s="155">
        <f t="shared" si="27"/>
        <v>1.030658838878017</v>
      </c>
      <c r="R56" s="115">
        <v>57.08</v>
      </c>
      <c r="S56" s="115">
        <f t="shared" si="5"/>
        <v>-43.849999999999994</v>
      </c>
      <c r="T56" s="155">
        <f t="shared" si="28"/>
        <v>0.23177995795374914</v>
      </c>
      <c r="U56" s="107">
        <f>F56-січень!F56</f>
        <v>14</v>
      </c>
      <c r="V56" s="110">
        <f>G56-січень!G56</f>
        <v>13.23</v>
      </c>
      <c r="W56" s="111">
        <f t="shared" si="24"/>
        <v>-0.7699999999999996</v>
      </c>
      <c r="X56" s="155">
        <f t="shared" si="29"/>
        <v>0.9450000000000001</v>
      </c>
      <c r="Y56" s="197">
        <f t="shared" si="16"/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3</v>
      </c>
      <c r="G57" s="106">
        <v>2.02</v>
      </c>
      <c r="H57" s="102">
        <f t="shared" si="23"/>
        <v>-0.98</v>
      </c>
      <c r="I57" s="213">
        <f t="shared" si="21"/>
        <v>0.6733333333333333</v>
      </c>
      <c r="J57" s="115">
        <f t="shared" si="25"/>
        <v>-10.98</v>
      </c>
      <c r="K57" s="155">
        <f t="shared" si="22"/>
        <v>0.1553846153846154</v>
      </c>
      <c r="L57" s="115"/>
      <c r="M57" s="115"/>
      <c r="N57" s="115"/>
      <c r="O57" s="115">
        <v>12.95</v>
      </c>
      <c r="P57" s="115">
        <f t="shared" si="26"/>
        <v>0.05000000000000071</v>
      </c>
      <c r="Q57" s="225">
        <f t="shared" si="27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4"/>
        <v>-1</v>
      </c>
      <c r="X57" s="155">
        <f t="shared" si="29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88.43</v>
      </c>
      <c r="G58" s="106">
        <v>52.18</v>
      </c>
      <c r="H58" s="102">
        <f t="shared" si="23"/>
        <v>-36.25000000000001</v>
      </c>
      <c r="I58" s="213">
        <f t="shared" si="21"/>
        <v>0.5900712427909081</v>
      </c>
      <c r="J58" s="115">
        <f t="shared" si="25"/>
        <v>-691.82</v>
      </c>
      <c r="K58" s="155">
        <f t="shared" si="22"/>
        <v>0.07013440860215053</v>
      </c>
      <c r="L58" s="115"/>
      <c r="M58" s="115"/>
      <c r="N58" s="115"/>
      <c r="O58" s="115">
        <v>705.31</v>
      </c>
      <c r="P58" s="115">
        <f t="shared" si="26"/>
        <v>38.690000000000055</v>
      </c>
      <c r="Q58" s="155">
        <f t="shared" si="27"/>
        <v>1.0548553118486907</v>
      </c>
      <c r="R58" s="115">
        <v>82.08</v>
      </c>
      <c r="S58" s="115">
        <f t="shared" si="5"/>
        <v>-29.9</v>
      </c>
      <c r="T58" s="155">
        <f t="shared" si="28"/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 t="shared" si="24"/>
        <v>-36.25000000000001</v>
      </c>
      <c r="X58" s="155">
        <f t="shared" si="29"/>
        <v>0.39583333333333326</v>
      </c>
      <c r="Y58" s="197">
        <f t="shared" si="16"/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10</v>
      </c>
      <c r="G59" s="106">
        <v>-11.58</v>
      </c>
      <c r="H59" s="102">
        <f t="shared" si="23"/>
        <v>-21.58</v>
      </c>
      <c r="I59" s="213">
        <f t="shared" si="21"/>
        <v>-1.158</v>
      </c>
      <c r="J59" s="115">
        <f t="shared" si="25"/>
        <v>-127.08</v>
      </c>
      <c r="K59" s="155">
        <f t="shared" si="22"/>
        <v>-0.10025974025974026</v>
      </c>
      <c r="L59" s="115"/>
      <c r="M59" s="115"/>
      <c r="N59" s="115"/>
      <c r="O59" s="115">
        <v>114.3</v>
      </c>
      <c r="P59" s="115">
        <f t="shared" si="26"/>
        <v>1.2000000000000028</v>
      </c>
      <c r="Q59" s="155">
        <f t="shared" si="27"/>
        <v>1.010498687664042</v>
      </c>
      <c r="R59" s="115">
        <v>0</v>
      </c>
      <c r="S59" s="115">
        <f t="shared" si="5"/>
        <v>-11.58</v>
      </c>
      <c r="T59" s="155" t="e">
        <f t="shared" si="28"/>
        <v>#DIV/0!</v>
      </c>
      <c r="U59" s="107">
        <f>F59-січень!F59</f>
        <v>10</v>
      </c>
      <c r="V59" s="110">
        <f>G59-січень!G59</f>
        <v>-5.03</v>
      </c>
      <c r="W59" s="111">
        <f t="shared" si="24"/>
        <v>-15.030000000000001</v>
      </c>
      <c r="X59" s="155">
        <f t="shared" si="29"/>
        <v>-0.503</v>
      </c>
      <c r="Y59" s="197" t="e">
        <f t="shared" si="16"/>
        <v>#DIV/0!</v>
      </c>
    </row>
    <row r="60" spans="1:25" s="6" customFormat="1" ht="30.75">
      <c r="A60" s="8"/>
      <c r="B60" s="274" t="s">
        <v>89</v>
      </c>
      <c r="C60" s="40">
        <v>22010300</v>
      </c>
      <c r="D60" s="249">
        <v>1284</v>
      </c>
      <c r="E60" s="102">
        <v>1284</v>
      </c>
      <c r="F60" s="102">
        <v>184</v>
      </c>
      <c r="G60" s="106">
        <v>177.19</v>
      </c>
      <c r="H60" s="102">
        <f t="shared" si="23"/>
        <v>-6.810000000000002</v>
      </c>
      <c r="I60" s="213">
        <f t="shared" si="21"/>
        <v>0.9629891304347826</v>
      </c>
      <c r="J60" s="115">
        <f t="shared" si="25"/>
        <v>-1106.81</v>
      </c>
      <c r="K60" s="155">
        <f t="shared" si="22"/>
        <v>0.13799844236760125</v>
      </c>
      <c r="L60" s="115"/>
      <c r="M60" s="115"/>
      <c r="N60" s="115"/>
      <c r="O60" s="115">
        <v>1205.14</v>
      </c>
      <c r="P60" s="115">
        <f t="shared" si="26"/>
        <v>78.8599999999999</v>
      </c>
      <c r="Q60" s="155">
        <f t="shared" si="27"/>
        <v>1.0654363808354215</v>
      </c>
      <c r="R60" s="115">
        <v>192.39</v>
      </c>
      <c r="S60" s="115">
        <f t="shared" si="5"/>
        <v>-15.199999999999989</v>
      </c>
      <c r="T60" s="155">
        <f t="shared" si="28"/>
        <v>0.920993814647331</v>
      </c>
      <c r="U60" s="107">
        <f>F60-січень!F60</f>
        <v>94.81</v>
      </c>
      <c r="V60" s="110">
        <f>G60-січень!G60</f>
        <v>88</v>
      </c>
      <c r="W60" s="111">
        <f t="shared" si="24"/>
        <v>-6.810000000000002</v>
      </c>
      <c r="X60" s="155">
        <f t="shared" si="29"/>
        <v>0.9281721337411665</v>
      </c>
      <c r="Y60" s="197">
        <f t="shared" si="16"/>
        <v>-0.14444256618809048</v>
      </c>
    </row>
    <row r="61" spans="1:25" s="6" customFormat="1" ht="18" hidden="1">
      <c r="A61" s="8"/>
      <c r="B61" s="274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3"/>
        <v>0</v>
      </c>
      <c r="I61" s="213" t="e">
        <f t="shared" si="21"/>
        <v>#DIV/0!</v>
      </c>
      <c r="J61" s="115">
        <f t="shared" si="25"/>
        <v>0</v>
      </c>
      <c r="K61" s="155" t="e">
        <f t="shared" si="22"/>
        <v>#DIV/0!</v>
      </c>
      <c r="L61" s="115"/>
      <c r="M61" s="115"/>
      <c r="N61" s="115"/>
      <c r="O61" s="115">
        <v>23.38</v>
      </c>
      <c r="P61" s="115">
        <f t="shared" si="26"/>
        <v>-23.38</v>
      </c>
      <c r="Q61" s="155">
        <f t="shared" si="27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4"/>
        <v>0</v>
      </c>
      <c r="X61" s="155" t="e">
        <f t="shared" si="29"/>
        <v>#DIV/0!</v>
      </c>
      <c r="Y61" s="197">
        <f t="shared" si="16"/>
        <v>0</v>
      </c>
    </row>
    <row r="62" spans="1:25" s="6" customFormat="1" ht="18">
      <c r="A62" s="8"/>
      <c r="B62" s="275" t="s">
        <v>65</v>
      </c>
      <c r="C62" s="57">
        <v>22012500</v>
      </c>
      <c r="D62" s="248">
        <v>21260</v>
      </c>
      <c r="E62" s="102">
        <v>21260</v>
      </c>
      <c r="F62" s="102">
        <f>3690+200</f>
        <v>3890</v>
      </c>
      <c r="G62" s="106">
        <v>3955.42</v>
      </c>
      <c r="H62" s="102">
        <f t="shared" si="23"/>
        <v>65.42000000000007</v>
      </c>
      <c r="I62" s="213">
        <f t="shared" si="21"/>
        <v>1.0168174807197943</v>
      </c>
      <c r="J62" s="115">
        <f t="shared" si="25"/>
        <v>-17304.58</v>
      </c>
      <c r="K62" s="155">
        <f t="shared" si="22"/>
        <v>0.18604985888993414</v>
      </c>
      <c r="L62" s="115"/>
      <c r="M62" s="115"/>
      <c r="N62" s="115"/>
      <c r="O62" s="115">
        <v>20110.14</v>
      </c>
      <c r="P62" s="115">
        <f t="shared" si="26"/>
        <v>1149.8600000000006</v>
      </c>
      <c r="Q62" s="155">
        <f t="shared" si="27"/>
        <v>1.0571781200926498</v>
      </c>
      <c r="R62" s="115">
        <v>2143.72</v>
      </c>
      <c r="S62" s="115">
        <f t="shared" si="5"/>
        <v>1811.7000000000003</v>
      </c>
      <c r="T62" s="155">
        <f t="shared" si="28"/>
        <v>1.8451196984680838</v>
      </c>
      <c r="U62" s="107">
        <f>F62-січень!F62</f>
        <v>2000</v>
      </c>
      <c r="V62" s="110">
        <f>G62-січень!G62</f>
        <v>2061.32</v>
      </c>
      <c r="W62" s="111">
        <f t="shared" si="24"/>
        <v>61.320000000000164</v>
      </c>
      <c r="X62" s="155">
        <f t="shared" si="29"/>
        <v>1.0306600000000001</v>
      </c>
      <c r="Y62" s="197">
        <f t="shared" si="16"/>
        <v>0.787941578375434</v>
      </c>
    </row>
    <row r="63" spans="1:25" s="6" customFormat="1" ht="31.5">
      <c r="A63" s="8"/>
      <c r="B63" s="275" t="s">
        <v>86</v>
      </c>
      <c r="C63" s="57">
        <v>22012600</v>
      </c>
      <c r="D63" s="248">
        <v>767</v>
      </c>
      <c r="E63" s="102">
        <v>767</v>
      </c>
      <c r="F63" s="102">
        <v>121</v>
      </c>
      <c r="G63" s="106">
        <v>121.69</v>
      </c>
      <c r="H63" s="102">
        <f t="shared" si="23"/>
        <v>0.6899999999999977</v>
      </c>
      <c r="I63" s="213">
        <f t="shared" si="21"/>
        <v>1.005702479338843</v>
      </c>
      <c r="J63" s="115">
        <f t="shared" si="25"/>
        <v>-645.31</v>
      </c>
      <c r="K63" s="155">
        <f t="shared" si="22"/>
        <v>0.15865710560625815</v>
      </c>
      <c r="L63" s="115"/>
      <c r="M63" s="115"/>
      <c r="N63" s="115"/>
      <c r="O63" s="115">
        <v>710.04</v>
      </c>
      <c r="P63" s="115">
        <f t="shared" si="26"/>
        <v>56.960000000000036</v>
      </c>
      <c r="Q63" s="155">
        <f t="shared" si="27"/>
        <v>1.0802208326291478</v>
      </c>
      <c r="R63" s="115">
        <v>90.44</v>
      </c>
      <c r="S63" s="115">
        <f t="shared" si="5"/>
        <v>31.25</v>
      </c>
      <c r="T63" s="155">
        <f t="shared" si="28"/>
        <v>1.345532950022114</v>
      </c>
      <c r="U63" s="107">
        <f>F63-січень!F63</f>
        <v>64</v>
      </c>
      <c r="V63" s="110">
        <f>G63-січень!G63</f>
        <v>62.32</v>
      </c>
      <c r="W63" s="111">
        <f t="shared" si="24"/>
        <v>-1.6799999999999997</v>
      </c>
      <c r="X63" s="155">
        <f t="shared" si="29"/>
        <v>0.97375</v>
      </c>
      <c r="Y63" s="197">
        <f t="shared" si="16"/>
        <v>0.26531211739296623</v>
      </c>
    </row>
    <row r="64" spans="1:25" s="6" customFormat="1" ht="31.5">
      <c r="A64" s="8"/>
      <c r="B64" s="275" t="s">
        <v>90</v>
      </c>
      <c r="C64" s="57">
        <v>22012900</v>
      </c>
      <c r="D64" s="248">
        <v>44</v>
      </c>
      <c r="E64" s="102">
        <v>44</v>
      </c>
      <c r="F64" s="102">
        <v>4</v>
      </c>
      <c r="G64" s="106">
        <v>6.7</v>
      </c>
      <c r="H64" s="102">
        <f t="shared" si="23"/>
        <v>2.7</v>
      </c>
      <c r="I64" s="213">
        <f t="shared" si="21"/>
        <v>1.675</v>
      </c>
      <c r="J64" s="115">
        <f t="shared" si="25"/>
        <v>-37.3</v>
      </c>
      <c r="K64" s="155">
        <f t="shared" si="22"/>
        <v>0.15227272727272728</v>
      </c>
      <c r="L64" s="115"/>
      <c r="M64" s="115"/>
      <c r="N64" s="115"/>
      <c r="O64" s="115">
        <v>41.44</v>
      </c>
      <c r="P64" s="115">
        <f t="shared" si="26"/>
        <v>2.5600000000000023</v>
      </c>
      <c r="Q64" s="155">
        <f t="shared" si="27"/>
        <v>1.0617760617760619</v>
      </c>
      <c r="R64" s="115">
        <v>0</v>
      </c>
      <c r="S64" s="115">
        <f t="shared" si="5"/>
        <v>6.7</v>
      </c>
      <c r="T64" s="155" t="e">
        <f t="shared" si="28"/>
        <v>#DIV/0!</v>
      </c>
      <c r="U64" s="107">
        <f>F64-січень!F64</f>
        <v>3</v>
      </c>
      <c r="V64" s="110">
        <f>G64-січень!G64</f>
        <v>5.640000000000001</v>
      </c>
      <c r="W64" s="111">
        <f t="shared" si="24"/>
        <v>2.6400000000000006</v>
      </c>
      <c r="X64" s="155">
        <f t="shared" si="29"/>
        <v>1.8800000000000001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1064.14</v>
      </c>
      <c r="G65" s="106">
        <v>1114.23</v>
      </c>
      <c r="H65" s="102">
        <f t="shared" si="23"/>
        <v>50.08999999999992</v>
      </c>
      <c r="I65" s="213">
        <f t="shared" si="21"/>
        <v>1.0470708741331027</v>
      </c>
      <c r="J65" s="115">
        <f t="shared" si="25"/>
        <v>-4885.77</v>
      </c>
      <c r="K65" s="155">
        <f t="shared" si="22"/>
        <v>0.185705</v>
      </c>
      <c r="L65" s="115"/>
      <c r="M65" s="115"/>
      <c r="N65" s="115"/>
      <c r="O65" s="115">
        <v>6545.96</v>
      </c>
      <c r="P65" s="115">
        <f t="shared" si="26"/>
        <v>-545.96</v>
      </c>
      <c r="Q65" s="155">
        <f t="shared" si="27"/>
        <v>0.9165958850955398</v>
      </c>
      <c r="R65" s="115">
        <v>1163.35</v>
      </c>
      <c r="S65" s="115">
        <f t="shared" si="5"/>
        <v>-49.11999999999989</v>
      </c>
      <c r="T65" s="155">
        <f t="shared" si="28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4"/>
        <v>50.08999999999992</v>
      </c>
      <c r="X65" s="155">
        <f t="shared" si="29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 t="shared" si="23"/>
        <v>-13.760000000000005</v>
      </c>
      <c r="I66" s="213">
        <f t="shared" si="21"/>
        <v>0.8859416445623342</v>
      </c>
      <c r="J66" s="115">
        <f t="shared" si="25"/>
        <v>-759.12</v>
      </c>
      <c r="K66" s="155">
        <f t="shared" si="22"/>
        <v>0.12341801385681293</v>
      </c>
      <c r="L66" s="115"/>
      <c r="M66" s="115"/>
      <c r="N66" s="115"/>
      <c r="O66" s="115">
        <v>896.22</v>
      </c>
      <c r="P66" s="115">
        <f t="shared" si="26"/>
        <v>-30.220000000000027</v>
      </c>
      <c r="Q66" s="155">
        <f t="shared" si="27"/>
        <v>0.9662806007453527</v>
      </c>
      <c r="R66" s="115">
        <v>89.05</v>
      </c>
      <c r="S66" s="115">
        <f t="shared" si="5"/>
        <v>17.83</v>
      </c>
      <c r="T66" s="155">
        <f t="shared" si="28"/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 t="shared" si="24"/>
        <v>-13.760000000000012</v>
      </c>
      <c r="X66" s="155">
        <f t="shared" si="29"/>
        <v>0.8150537634408601</v>
      </c>
      <c r="Y66" s="197">
        <f t="shared" si="16"/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97.42</v>
      </c>
      <c r="G67" s="94">
        <v>83.89</v>
      </c>
      <c r="H67" s="71">
        <f t="shared" si="23"/>
        <v>-13.530000000000001</v>
      </c>
      <c r="I67" s="209">
        <f t="shared" si="21"/>
        <v>0.8611168137959351</v>
      </c>
      <c r="J67" s="72">
        <f t="shared" si="25"/>
        <v>-644.3100000000001</v>
      </c>
      <c r="K67" s="75">
        <f t="shared" si="22"/>
        <v>0.11520186761878604</v>
      </c>
      <c r="L67" s="72"/>
      <c r="M67" s="72"/>
      <c r="N67" s="72"/>
      <c r="O67" s="72">
        <v>760.62</v>
      </c>
      <c r="P67" s="72">
        <f t="shared" si="26"/>
        <v>-32.41999999999996</v>
      </c>
      <c r="Q67" s="75">
        <f t="shared" si="27"/>
        <v>0.957376876758434</v>
      </c>
      <c r="R67" s="72">
        <v>73.71</v>
      </c>
      <c r="S67" s="203">
        <f t="shared" si="5"/>
        <v>10.180000000000007</v>
      </c>
      <c r="T67" s="204">
        <f t="shared" si="28"/>
        <v>1.1381088047754715</v>
      </c>
      <c r="U67" s="73">
        <f>F67-січень!F67</f>
        <v>63</v>
      </c>
      <c r="V67" s="98">
        <f>G67-січень!G67</f>
        <v>49.47</v>
      </c>
      <c r="W67" s="74">
        <f t="shared" si="24"/>
        <v>-13.530000000000001</v>
      </c>
      <c r="X67" s="75">
        <f t="shared" si="29"/>
        <v>0.7852380952380952</v>
      </c>
      <c r="Y67" s="197">
        <f t="shared" si="16"/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0.04</v>
      </c>
      <c r="H68" s="71">
        <f t="shared" si="23"/>
        <v>0.04</v>
      </c>
      <c r="I68" s="209" t="e">
        <f t="shared" si="21"/>
        <v>#DIV/0!</v>
      </c>
      <c r="J68" s="72">
        <f t="shared" si="25"/>
        <v>-0.96</v>
      </c>
      <c r="K68" s="75">
        <f t="shared" si="22"/>
        <v>0.04</v>
      </c>
      <c r="L68" s="72"/>
      <c r="M68" s="72"/>
      <c r="N68" s="72"/>
      <c r="O68" s="72">
        <v>0.18</v>
      </c>
      <c r="P68" s="72">
        <f t="shared" si="26"/>
        <v>0.8200000000000001</v>
      </c>
      <c r="Q68" s="75">
        <f t="shared" si="27"/>
        <v>5.555555555555555</v>
      </c>
      <c r="R68" s="72">
        <v>0.1</v>
      </c>
      <c r="S68" s="203">
        <f t="shared" si="5"/>
        <v>-0.060000000000000005</v>
      </c>
      <c r="T68" s="204">
        <f t="shared" si="28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4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3"/>
        <v>0</v>
      </c>
      <c r="I69" s="209" t="e">
        <f t="shared" si="21"/>
        <v>#DIV/0!</v>
      </c>
      <c r="J69" s="72">
        <f t="shared" si="25"/>
        <v>0</v>
      </c>
      <c r="K69" s="75" t="e">
        <f t="shared" si="22"/>
        <v>#DIV/0!</v>
      </c>
      <c r="L69" s="72"/>
      <c r="M69" s="72"/>
      <c r="N69" s="72"/>
      <c r="O69" s="72">
        <v>0</v>
      </c>
      <c r="P69" s="72">
        <f t="shared" si="26"/>
        <v>0</v>
      </c>
      <c r="Q69" s="75" t="e">
        <f t="shared" si="27"/>
        <v>#DIV/0!</v>
      </c>
      <c r="R69" s="72">
        <f>O69</f>
        <v>0</v>
      </c>
      <c r="S69" s="203">
        <f t="shared" si="5"/>
        <v>0</v>
      </c>
      <c r="T69" s="204" t="e">
        <f t="shared" si="28"/>
        <v>#DIV/0!</v>
      </c>
      <c r="U69" s="73">
        <f>F69-січень!F69</f>
        <v>0</v>
      </c>
      <c r="V69" s="98">
        <f>G69-січень!G69</f>
        <v>0</v>
      </c>
      <c r="W69" s="74">
        <f t="shared" si="24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23.22</v>
      </c>
      <c r="G70" s="94">
        <v>23.15</v>
      </c>
      <c r="H70" s="71">
        <f t="shared" si="23"/>
        <v>-0.07000000000000028</v>
      </c>
      <c r="I70" s="209">
        <f t="shared" si="21"/>
        <v>0.9969853574504737</v>
      </c>
      <c r="J70" s="72">
        <f t="shared" si="25"/>
        <v>-113.65</v>
      </c>
      <c r="K70" s="75">
        <f t="shared" si="22"/>
        <v>0.1692251461988304</v>
      </c>
      <c r="L70" s="72"/>
      <c r="M70" s="72"/>
      <c r="N70" s="72"/>
      <c r="O70" s="72">
        <v>135.42</v>
      </c>
      <c r="P70" s="72">
        <f t="shared" si="26"/>
        <v>1.3800000000000239</v>
      </c>
      <c r="Q70" s="75">
        <f t="shared" si="27"/>
        <v>1.01019051838724</v>
      </c>
      <c r="R70" s="72">
        <v>15.24</v>
      </c>
      <c r="S70" s="203">
        <f t="shared" si="5"/>
        <v>7.909999999999998</v>
      </c>
      <c r="T70" s="204">
        <f t="shared" si="28"/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 t="shared" si="24"/>
        <v>-0.07000000000000028</v>
      </c>
      <c r="X70" s="75">
        <f t="shared" si="29"/>
        <v>0.993859649122807</v>
      </c>
      <c r="Y70" s="197">
        <f t="shared" si="16"/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3"/>
        <v>-1.5</v>
      </c>
      <c r="I71" s="213">
        <f t="shared" si="21"/>
        <v>0</v>
      </c>
      <c r="J71" s="115">
        <f t="shared" si="25"/>
        <v>-3</v>
      </c>
      <c r="K71" s="155">
        <f t="shared" si="22"/>
        <v>0</v>
      </c>
      <c r="L71" s="115"/>
      <c r="M71" s="115"/>
      <c r="N71" s="115"/>
      <c r="O71" s="115">
        <v>2.04</v>
      </c>
      <c r="P71" s="115">
        <f t="shared" si="26"/>
        <v>0.96</v>
      </c>
      <c r="Q71" s="155">
        <f t="shared" si="27"/>
        <v>1.4705882352941175</v>
      </c>
      <c r="R71" s="115">
        <v>1.67</v>
      </c>
      <c r="S71" s="115">
        <f t="shared" si="5"/>
        <v>-1.67</v>
      </c>
      <c r="T71" s="155">
        <f t="shared" si="28"/>
        <v>0</v>
      </c>
      <c r="U71" s="107">
        <f>F71-січень!F71</f>
        <v>1.5</v>
      </c>
      <c r="V71" s="110">
        <f>G71-січень!G71</f>
        <v>0</v>
      </c>
      <c r="W71" s="111">
        <f t="shared" si="24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1248.65</v>
      </c>
      <c r="G72" s="106">
        <v>1072.15</v>
      </c>
      <c r="H72" s="102">
        <f t="shared" si="23"/>
        <v>-176.5</v>
      </c>
      <c r="I72" s="213">
        <f t="shared" si="21"/>
        <v>0.8586473391262563</v>
      </c>
      <c r="J72" s="115">
        <f t="shared" si="25"/>
        <v>-7097.85</v>
      </c>
      <c r="K72" s="155">
        <f t="shared" si="22"/>
        <v>0.13123011015911873</v>
      </c>
      <c r="L72" s="115"/>
      <c r="M72" s="115"/>
      <c r="N72" s="115"/>
      <c r="O72" s="115">
        <v>8086.92</v>
      </c>
      <c r="P72" s="115">
        <f t="shared" si="26"/>
        <v>83.07999999999993</v>
      </c>
      <c r="Q72" s="155">
        <f t="shared" si="27"/>
        <v>1.0102733797292418</v>
      </c>
      <c r="R72" s="115">
        <v>2711.43</v>
      </c>
      <c r="S72" s="115">
        <f t="shared" si="5"/>
        <v>-1639.2799999999997</v>
      </c>
      <c r="T72" s="155">
        <f t="shared" si="28"/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 t="shared" si="24"/>
        <v>-176.5</v>
      </c>
      <c r="X72" s="155">
        <f t="shared" si="29"/>
        <v>0.7404411764705883</v>
      </c>
      <c r="Y72" s="197">
        <f t="shared" si="16"/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3"/>
        <v>0</v>
      </c>
      <c r="I73" s="213" t="e">
        <f>G73/F73*100</f>
        <v>#DIV/0!</v>
      </c>
      <c r="J73" s="115">
        <f t="shared" si="25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8"/>
        <v>#DIV/0!</v>
      </c>
      <c r="U73" s="107">
        <f>F73-січень!F73</f>
        <v>0</v>
      </c>
      <c r="V73" s="110">
        <f>G73-січень!G73</f>
        <v>0</v>
      </c>
      <c r="W73" s="111">
        <f t="shared" si="24"/>
        <v>0</v>
      </c>
      <c r="X73" s="155" t="e">
        <f t="shared" si="29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8"/>
        <v>0</v>
      </c>
      <c r="U74" s="107">
        <f>F74-січень!F74</f>
        <v>0</v>
      </c>
      <c r="V74" s="110">
        <f>G74-січень!G74</f>
        <v>0</v>
      </c>
      <c r="W74" s="116">
        <f t="shared" si="24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3"/>
        <v>0</v>
      </c>
      <c r="I75" s="213" t="e">
        <f>G75/F75*100</f>
        <v>#DIV/0!</v>
      </c>
      <c r="J75" s="115">
        <f t="shared" si="25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8"/>
        <v>#DIV/0!</v>
      </c>
      <c r="U75" s="107">
        <f>F75-січень!F75</f>
        <v>0</v>
      </c>
      <c r="V75" s="110">
        <f>G75-січень!G75</f>
        <v>0</v>
      </c>
      <c r="W75" s="111">
        <f t="shared" si="24"/>
        <v>0</v>
      </c>
      <c r="X75" s="155" t="e">
        <f t="shared" si="29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3"/>
        <v>0</v>
      </c>
      <c r="I76" s="213" t="e">
        <f>G76/F76</f>
        <v>#DIV/0!</v>
      </c>
      <c r="J76" s="115">
        <f t="shared" si="25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8"/>
        <v>0</v>
      </c>
      <c r="U76" s="107">
        <f>F76-січень!F76</f>
        <v>0</v>
      </c>
      <c r="V76" s="110">
        <f>G76-січень!G76</f>
        <v>0</v>
      </c>
      <c r="W76" s="111">
        <f t="shared" si="24"/>
        <v>0</v>
      </c>
      <c r="X76" s="155" t="e">
        <f t="shared" si="29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6.67</v>
      </c>
      <c r="G77" s="106">
        <v>4.74</v>
      </c>
      <c r="H77" s="102">
        <f t="shared" si="23"/>
        <v>-1.9299999999999997</v>
      </c>
      <c r="I77" s="213">
        <f>G77/F77</f>
        <v>0.7106446776611695</v>
      </c>
      <c r="J77" s="115">
        <f t="shared" si="25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8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4"/>
        <v>-1.9299999999999997</v>
      </c>
      <c r="X77" s="155">
        <f t="shared" si="29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0.11</v>
      </c>
      <c r="H78" s="102">
        <f t="shared" si="23"/>
        <v>0.11</v>
      </c>
      <c r="I78" s="213" t="e">
        <f>G78/F78</f>
        <v>#DIV/0!</v>
      </c>
      <c r="J78" s="115">
        <f t="shared" si="25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8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4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 t="shared" si="16"/>
        <v>0.05902212219026426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0" ref="S86:S98">G86-R86</f>
        <v>0.01</v>
      </c>
      <c r="T86" s="151" t="e">
        <f aca="true" t="shared" si="31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2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3" ref="P87:P98">E87-O87</f>
        <v>-35.57</v>
      </c>
      <c r="Q87" s="151">
        <f aca="true" t="shared" si="34" ref="Q87:Q98">E87/O87</f>
        <v>0</v>
      </c>
      <c r="R87" s="131">
        <v>11.81</v>
      </c>
      <c r="S87" s="131">
        <f t="shared" si="30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5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806.44</v>
      </c>
      <c r="H88" s="112">
        <f t="shared" si="32"/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 t="shared" si="33"/>
        <v>4061.86</v>
      </c>
      <c r="Q88" s="147">
        <f t="shared" si="34"/>
        <v>5.329694928262306</v>
      </c>
      <c r="R88" s="117">
        <v>0.04</v>
      </c>
      <c r="S88" s="117">
        <f t="shared" si="30"/>
        <v>806.4000000000001</v>
      </c>
      <c r="T88" s="147">
        <f t="shared" si="31"/>
        <v>20161</v>
      </c>
      <c r="U88" s="112">
        <f>F88-січень!F88</f>
        <v>0</v>
      </c>
      <c r="V88" s="118">
        <f>G88-січень!G88</f>
        <v>0.010000000000104592</v>
      </c>
      <c r="W88" s="117">
        <f t="shared" si="35"/>
        <v>0.010000000000104592</v>
      </c>
      <c r="X88" s="147" t="e">
        <f>V88/U88</f>
        <v>#DIV/0!</v>
      </c>
      <c r="Y88" s="197">
        <f t="shared" si="16"/>
        <v>20155.670305071737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1015</v>
      </c>
      <c r="G89" s="126">
        <v>194.45</v>
      </c>
      <c r="H89" s="112">
        <f t="shared" si="32"/>
        <v>-820.55</v>
      </c>
      <c r="I89" s="213">
        <f>G89/F89</f>
        <v>0.19157635467980294</v>
      </c>
      <c r="J89" s="117">
        <f aca="true" t="shared" si="36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3"/>
        <v>8305.35</v>
      </c>
      <c r="Q89" s="147">
        <f t="shared" si="34"/>
        <v>2.0198559613932328</v>
      </c>
      <c r="R89" s="117">
        <v>1.9</v>
      </c>
      <c r="S89" s="117">
        <f t="shared" si="30"/>
        <v>192.54999999999998</v>
      </c>
      <c r="T89" s="147">
        <f t="shared" si="31"/>
        <v>102.34210526315789</v>
      </c>
      <c r="U89" s="112">
        <f>F89-січень!F89</f>
        <v>1000</v>
      </c>
      <c r="V89" s="118">
        <f>G89-січень!G89</f>
        <v>179.45</v>
      </c>
      <c r="W89" s="117">
        <f t="shared" si="35"/>
        <v>-820.55</v>
      </c>
      <c r="X89" s="147">
        <f>V89/U89</f>
        <v>0.17945</v>
      </c>
      <c r="Y89" s="197">
        <f t="shared" si="16"/>
        <v>100.32224930176466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3000</v>
      </c>
      <c r="G90" s="126">
        <v>331.15</v>
      </c>
      <c r="H90" s="112">
        <f t="shared" si="32"/>
        <v>-2668.85</v>
      </c>
      <c r="I90" s="213">
        <f>G90/F90</f>
        <v>0.11038333333333332</v>
      </c>
      <c r="J90" s="117">
        <f t="shared" si="36"/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 t="shared" si="33"/>
        <v>4694.119999999999</v>
      </c>
      <c r="Q90" s="147">
        <f t="shared" si="34"/>
        <v>1.2712442245063527</v>
      </c>
      <c r="R90" s="117">
        <v>90.12</v>
      </c>
      <c r="S90" s="117">
        <f t="shared" si="30"/>
        <v>241.02999999999997</v>
      </c>
      <c r="T90" s="147">
        <f t="shared" si="31"/>
        <v>3.674545051043053</v>
      </c>
      <c r="U90" s="112">
        <f>F90-січень!F90</f>
        <v>2843</v>
      </c>
      <c r="V90" s="118">
        <f>G90-січень!G90</f>
        <v>174.14</v>
      </c>
      <c r="W90" s="117">
        <f t="shared" si="35"/>
        <v>-2668.86</v>
      </c>
      <c r="X90" s="147">
        <f>V90/U90</f>
        <v>0.06125219838199085</v>
      </c>
      <c r="Y90" s="197">
        <f t="shared" si="16"/>
        <v>2.4033008265367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4</v>
      </c>
      <c r="G91" s="126">
        <v>2</v>
      </c>
      <c r="H91" s="112">
        <f t="shared" si="32"/>
        <v>-2</v>
      </c>
      <c r="I91" s="213">
        <f>G91/F91</f>
        <v>0.5</v>
      </c>
      <c r="J91" s="117">
        <f t="shared" si="36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3"/>
        <v>4</v>
      </c>
      <c r="Q91" s="147">
        <f t="shared" si="34"/>
        <v>1.2</v>
      </c>
      <c r="R91" s="117">
        <v>1</v>
      </c>
      <c r="S91" s="117">
        <f t="shared" si="30"/>
        <v>1</v>
      </c>
      <c r="T91" s="147">
        <f t="shared" si="31"/>
        <v>2</v>
      </c>
      <c r="U91" s="112">
        <f>F91-січень!F91</f>
        <v>3</v>
      </c>
      <c r="V91" s="118">
        <f>G91-січень!G91</f>
        <v>1</v>
      </c>
      <c r="W91" s="117">
        <f t="shared" si="35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 t="shared" si="32"/>
        <v>-3491.389</v>
      </c>
      <c r="I92" s="216">
        <f>G92/F92</f>
        <v>0.27646039346967904</v>
      </c>
      <c r="J92" s="131">
        <f t="shared" si="36"/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 t="shared" si="33"/>
        <v>17065.34</v>
      </c>
      <c r="Q92" s="151">
        <f t="shared" si="34"/>
        <v>1.6462268902280626</v>
      </c>
      <c r="R92" s="131">
        <v>93.06</v>
      </c>
      <c r="S92" s="117">
        <f t="shared" si="30"/>
        <v>1240.98</v>
      </c>
      <c r="T92" s="147">
        <f t="shared" si="31"/>
        <v>14.335267569310123</v>
      </c>
      <c r="U92" s="129">
        <f>F92-січень!F92</f>
        <v>3846</v>
      </c>
      <c r="V92" s="174">
        <f>G92-січень!G92</f>
        <v>354.6</v>
      </c>
      <c r="W92" s="131">
        <f t="shared" si="35"/>
        <v>-3491.4</v>
      </c>
      <c r="X92" s="151">
        <f>V92/U92</f>
        <v>0.09219968798751951</v>
      </c>
      <c r="Y92" s="197">
        <f t="shared" si="16"/>
        <v>12.68904067908206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3</v>
      </c>
      <c r="G93" s="126">
        <v>0.02</v>
      </c>
      <c r="H93" s="112">
        <f t="shared" si="32"/>
        <v>-2.98</v>
      </c>
      <c r="I93" s="213"/>
      <c r="J93" s="117">
        <f t="shared" si="36"/>
        <v>-42.98</v>
      </c>
      <c r="K93" s="147"/>
      <c r="L93" s="117"/>
      <c r="M93" s="117"/>
      <c r="N93" s="117"/>
      <c r="O93" s="117">
        <v>49.17</v>
      </c>
      <c r="P93" s="117">
        <f t="shared" si="33"/>
        <v>-6.170000000000002</v>
      </c>
      <c r="Q93" s="147">
        <f t="shared" si="34"/>
        <v>0.8745169818995322</v>
      </c>
      <c r="R93" s="117">
        <v>0</v>
      </c>
      <c r="S93" s="117">
        <f t="shared" si="30"/>
        <v>0.02</v>
      </c>
      <c r="T93" s="147" t="e">
        <f t="shared" si="31"/>
        <v>#DIV/0!</v>
      </c>
      <c r="U93" s="112">
        <f>F93-січень!F93</f>
        <v>3</v>
      </c>
      <c r="V93" s="118">
        <f>G93-січень!G93</f>
        <v>0.01</v>
      </c>
      <c r="W93" s="117">
        <f t="shared" si="35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2"/>
        <v>0</v>
      </c>
      <c r="I94" s="213"/>
      <c r="J94" s="117">
        <f t="shared" si="36"/>
        <v>0</v>
      </c>
      <c r="K94" s="224"/>
      <c r="L94" s="134"/>
      <c r="M94" s="134"/>
      <c r="N94" s="134"/>
      <c r="O94" s="134"/>
      <c r="P94" s="117">
        <f t="shared" si="33"/>
        <v>0</v>
      </c>
      <c r="Q94" s="147" t="e">
        <f t="shared" si="34"/>
        <v>#DIV/0!</v>
      </c>
      <c r="R94" s="117">
        <f>O94</f>
        <v>0</v>
      </c>
      <c r="S94" s="117">
        <f t="shared" si="30"/>
        <v>0</v>
      </c>
      <c r="T94" s="147" t="e">
        <f t="shared" si="31"/>
        <v>#DIV/0!</v>
      </c>
      <c r="U94" s="112">
        <f>F94-січень!F94</f>
        <v>0</v>
      </c>
      <c r="V94" s="118">
        <f>G94-січень!G94</f>
        <v>0</v>
      </c>
      <c r="W94" s="117">
        <f t="shared" si="35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2818.75</v>
      </c>
      <c r="G95" s="126">
        <v>2378.24</v>
      </c>
      <c r="H95" s="112">
        <f t="shared" si="32"/>
        <v>-440.5100000000002</v>
      </c>
      <c r="I95" s="213">
        <f>G95/F95</f>
        <v>0.8437215077605321</v>
      </c>
      <c r="J95" s="117">
        <f t="shared" si="36"/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 t="shared" si="33"/>
        <v>1016.0600000000004</v>
      </c>
      <c r="Q95" s="147">
        <f t="shared" si="34"/>
        <v>1.1264709470073215</v>
      </c>
      <c r="R95" s="117">
        <v>11.48</v>
      </c>
      <c r="S95" s="117">
        <f t="shared" si="30"/>
        <v>2366.7599999999998</v>
      </c>
      <c r="T95" s="147">
        <f t="shared" si="31"/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 t="shared" si="35"/>
        <v>-441.0000000000002</v>
      </c>
      <c r="X95" s="147">
        <f>V95/U95</f>
        <v>0.812818336162988</v>
      </c>
      <c r="Y95" s="197">
        <f t="shared" si="16"/>
        <v>206.03729211919472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2"/>
        <v>0</v>
      </c>
      <c r="I96" s="213"/>
      <c r="J96" s="117">
        <f t="shared" si="36"/>
        <v>0</v>
      </c>
      <c r="K96" s="147"/>
      <c r="L96" s="117"/>
      <c r="M96" s="117"/>
      <c r="N96" s="117"/>
      <c r="O96" s="117">
        <v>0.1</v>
      </c>
      <c r="P96" s="117">
        <f t="shared" si="33"/>
        <v>-0.1</v>
      </c>
      <c r="Q96" s="147">
        <f t="shared" si="34"/>
        <v>0</v>
      </c>
      <c r="R96" s="117">
        <v>0</v>
      </c>
      <c r="S96" s="117">
        <f t="shared" si="30"/>
        <v>0</v>
      </c>
      <c r="T96" s="147" t="e">
        <f t="shared" si="31"/>
        <v>#DIV/0!</v>
      </c>
      <c r="U96" s="112">
        <f>F96-січень!F96</f>
        <v>0</v>
      </c>
      <c r="V96" s="118">
        <f>G96-січень!G96</f>
        <v>0</v>
      </c>
      <c r="W96" s="117">
        <f t="shared" si="35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 t="shared" si="32"/>
        <v>-443.49000000000024</v>
      </c>
      <c r="I97" s="216">
        <f>G97/F97</f>
        <v>0.8428315761495525</v>
      </c>
      <c r="J97" s="131">
        <f t="shared" si="36"/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 t="shared" si="33"/>
        <v>1009.79</v>
      </c>
      <c r="Q97" s="151">
        <f t="shared" si="34"/>
        <v>1.1249243802895137</v>
      </c>
      <c r="R97" s="131">
        <v>11.82</v>
      </c>
      <c r="S97" s="117">
        <f t="shared" si="30"/>
        <v>2366.4399999999996</v>
      </c>
      <c r="T97" s="147">
        <f t="shared" si="31"/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 t="shared" si="35"/>
        <v>-443.99000000000024</v>
      </c>
      <c r="X97" s="151">
        <f>V97/U97</f>
        <v>0.8117888935989825</v>
      </c>
      <c r="Y97" s="197">
        <f t="shared" si="16"/>
        <v>200.08150539974432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3.46</v>
      </c>
      <c r="G98" s="126">
        <v>3.78</v>
      </c>
      <c r="H98" s="112">
        <f t="shared" si="32"/>
        <v>0.31999999999999984</v>
      </c>
      <c r="I98" s="213">
        <f>G98/F98</f>
        <v>1.092485549132948</v>
      </c>
      <c r="J98" s="117">
        <f t="shared" si="36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3"/>
        <v>-18.547</v>
      </c>
      <c r="Q98" s="147">
        <f t="shared" si="34"/>
        <v>0.5114067439409905</v>
      </c>
      <c r="R98" s="131">
        <v>0.34</v>
      </c>
      <c r="S98" s="117">
        <f t="shared" si="30"/>
        <v>3.44</v>
      </c>
      <c r="T98" s="147">
        <f t="shared" si="31"/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 t="shared" si="35"/>
        <v>0.3155800000000002</v>
      </c>
      <c r="X98" s="147">
        <f>V98/U98</f>
        <v>1.1788576416046068</v>
      </c>
      <c r="Y98" s="197">
        <f t="shared" si="16"/>
        <v>10.606240314882537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1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 t="shared" si="31"/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 t="shared" si="31"/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 hidden="1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 hidden="1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 hidden="1">
      <c r="B104" s="260" t="s">
        <v>145</v>
      </c>
      <c r="C104" s="261"/>
      <c r="D104" s="4" t="s">
        <v>24</v>
      </c>
      <c r="F104" s="78"/>
      <c r="G104" s="261">
        <f>IF(H79&lt;0,ABS(H79/C103),0)</f>
        <v>0</v>
      </c>
      <c r="H104" s="262"/>
      <c r="I104" s="262"/>
      <c r="J104" s="262"/>
      <c r="V104" s="261">
        <f>IF(W79&lt;0,ABS(W79/C103),0)</f>
        <v>0</v>
      </c>
    </row>
    <row r="105" spans="2:7" ht="30.75" hidden="1">
      <c r="B105" s="263" t="s">
        <v>146</v>
      </c>
      <c r="C105" s="264">
        <v>43159</v>
      </c>
      <c r="D105" s="261"/>
      <c r="E105" s="261">
        <v>14510.3</v>
      </c>
      <c r="F105" s="78"/>
      <c r="G105" s="4" t="s">
        <v>147</v>
      </c>
    </row>
    <row r="106" spans="3:10" ht="15" hidden="1">
      <c r="C106" s="264">
        <v>43158</v>
      </c>
      <c r="D106" s="261"/>
      <c r="E106" s="261">
        <v>11132</v>
      </c>
      <c r="F106" s="78"/>
      <c r="G106" s="306"/>
      <c r="H106" s="306"/>
      <c r="I106" s="265"/>
      <c r="J106" s="266"/>
    </row>
    <row r="107" spans="3:10" ht="15" hidden="1">
      <c r="C107" s="264">
        <v>43157</v>
      </c>
      <c r="D107" s="261"/>
      <c r="E107" s="261">
        <v>4296.6</v>
      </c>
      <c r="F107" s="78"/>
      <c r="G107" s="306"/>
      <c r="H107" s="306"/>
      <c r="I107" s="265"/>
      <c r="J107" s="267"/>
    </row>
    <row r="108" spans="3:10" ht="15" hidden="1">
      <c r="C108" s="264"/>
      <c r="D108" s="4"/>
      <c r="F108" s="268"/>
      <c r="G108" s="307"/>
      <c r="H108" s="307"/>
      <c r="I108" s="269"/>
      <c r="J108" s="266"/>
    </row>
    <row r="109" spans="2:10" ht="16.5" hidden="1">
      <c r="B109" s="308" t="s">
        <v>148</v>
      </c>
      <c r="C109" s="309"/>
      <c r="D109" s="270"/>
      <c r="E109" s="273">
        <v>144.8304</v>
      </c>
      <c r="F109" s="271" t="s">
        <v>149</v>
      </c>
      <c r="G109" s="306"/>
      <c r="H109" s="306"/>
      <c r="I109" s="272"/>
      <c r="J109" s="266"/>
    </row>
  </sheetData>
  <sheetProtection/>
  <mergeCells count="27"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</mergeCells>
  <printOptions/>
  <pageMargins left="0.31496062992125984" right="0" top="0" bottom="0" header="0" footer="0"/>
  <pageSetup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9"/>
  <sheetViews>
    <sheetView zoomScale="69" zoomScaleNormal="69" zoomScalePageLayoutView="0" workbookViewId="0" topLeftCell="B1">
      <pane xSplit="2" ySplit="8" topLeftCell="D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18" sqref="B11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3.125" style="4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276" t="s">
        <v>128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186"/>
    </row>
    <row r="2" spans="2:25" s="1" customFormat="1" ht="15.75" customHeight="1">
      <c r="B2" s="277"/>
      <c r="C2" s="277"/>
      <c r="D2" s="277"/>
      <c r="E2" s="277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278"/>
      <c r="B3" s="280"/>
      <c r="C3" s="281" t="s">
        <v>0</v>
      </c>
      <c r="D3" s="310" t="s">
        <v>131</v>
      </c>
      <c r="E3" s="282" t="s">
        <v>131</v>
      </c>
      <c r="F3" s="25"/>
      <c r="G3" s="283" t="s">
        <v>26</v>
      </c>
      <c r="H3" s="284"/>
      <c r="I3" s="284"/>
      <c r="J3" s="284"/>
      <c r="K3" s="285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286" t="s">
        <v>140</v>
      </c>
      <c r="V3" s="289" t="s">
        <v>124</v>
      </c>
      <c r="W3" s="289"/>
      <c r="X3" s="289"/>
      <c r="Y3" s="194"/>
    </row>
    <row r="4" spans="1:24" ht="22.5" customHeight="1">
      <c r="A4" s="278"/>
      <c r="B4" s="280"/>
      <c r="C4" s="281"/>
      <c r="D4" s="311"/>
      <c r="E4" s="282"/>
      <c r="F4" s="290" t="s">
        <v>138</v>
      </c>
      <c r="G4" s="292" t="s">
        <v>31</v>
      </c>
      <c r="H4" s="294" t="s">
        <v>122</v>
      </c>
      <c r="I4" s="287" t="s">
        <v>123</v>
      </c>
      <c r="J4" s="294" t="s">
        <v>132</v>
      </c>
      <c r="K4" s="287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87"/>
      <c r="V4" s="296" t="s">
        <v>137</v>
      </c>
      <c r="W4" s="294" t="s">
        <v>44</v>
      </c>
      <c r="X4" s="298" t="s">
        <v>43</v>
      </c>
    </row>
    <row r="5" spans="1:24" ht="67.5" customHeight="1">
      <c r="A5" s="279"/>
      <c r="B5" s="280"/>
      <c r="C5" s="281"/>
      <c r="D5" s="312"/>
      <c r="E5" s="282"/>
      <c r="F5" s="291"/>
      <c r="G5" s="293"/>
      <c r="H5" s="295"/>
      <c r="I5" s="288"/>
      <c r="J5" s="295"/>
      <c r="K5" s="288"/>
      <c r="L5" s="299" t="s">
        <v>109</v>
      </c>
      <c r="M5" s="300"/>
      <c r="N5" s="301"/>
      <c r="O5" s="313" t="s">
        <v>125</v>
      </c>
      <c r="P5" s="314"/>
      <c r="Q5" s="315"/>
      <c r="R5" s="305" t="s">
        <v>127</v>
      </c>
      <c r="S5" s="305"/>
      <c r="T5" s="305"/>
      <c r="U5" s="288"/>
      <c r="V5" s="297"/>
      <c r="W5" s="295"/>
      <c r="X5" s="29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0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71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8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199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9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9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9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9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9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8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9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9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9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0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9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9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9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9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9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9">
        <f t="shared" si="8"/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9">
        <f t="shared" si="8"/>
        <v>0.05241810147991144</v>
      </c>
      <c r="AB24" s="227"/>
    </row>
    <row r="25" spans="1:26" s="6" customFormat="1" ht="18">
      <c r="A25" s="8"/>
      <c r="B25" s="41" t="s">
        <v>61</v>
      </c>
      <c r="C25" s="84"/>
      <c r="D25" s="251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9">
        <f t="shared" si="8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0" ref="X26:X41">V26/U26</f>
        <v>1</v>
      </c>
      <c r="Y26" s="199">
        <f t="shared" si="8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0"/>
        <v>1.0002006290836378</v>
      </c>
      <c r="Y27" s="199">
        <f t="shared" si="8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42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0"/>
        <v>1</v>
      </c>
      <c r="Y28" s="199">
        <f t="shared" si="8"/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42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0"/>
        <v>1</v>
      </c>
      <c r="Y29" s="199">
        <f t="shared" si="8"/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42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0"/>
        <v>1.0032132528830018</v>
      </c>
      <c r="Y30" s="199">
        <f t="shared" si="8"/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42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0"/>
        <v>1</v>
      </c>
      <c r="Y31" s="199">
        <f t="shared" si="8"/>
        <v>-0.0065047225321446245</v>
      </c>
    </row>
    <row r="32" spans="1:25" s="6" customFormat="1" ht="18">
      <c r="A32" s="8"/>
      <c r="B32" s="41" t="s">
        <v>62</v>
      </c>
      <c r="C32" s="84"/>
      <c r="D32" s="231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0"/>
        <v>1</v>
      </c>
      <c r="Y32" s="199">
        <f t="shared" si="8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229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0"/>
        <v>1</v>
      </c>
      <c r="Y33" s="199" t="e">
        <f t="shared" si="8"/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229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0"/>
        <v>1</v>
      </c>
      <c r="Y34" s="199">
        <f t="shared" si="8"/>
        <v>2.0298193168688514</v>
      </c>
    </row>
    <row r="35" spans="1:25" s="6" customFormat="1" ht="18">
      <c r="A35" s="8"/>
      <c r="B35" s="41" t="s">
        <v>63</v>
      </c>
      <c r="C35" s="84"/>
      <c r="D35" s="231">
        <f>D36+D37</f>
        <v>187776</v>
      </c>
      <c r="E35" s="257">
        <f>E36+E37</f>
        <v>187776</v>
      </c>
      <c r="F35" s="257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0"/>
        <v>1.0000014977369196</v>
      </c>
      <c r="Y35" s="199">
        <f t="shared" si="8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21" ref="E36:G37">E38+E40</f>
        <v>60690</v>
      </c>
      <c r="F36" s="139">
        <f t="shared" si="21"/>
        <v>4067.23</v>
      </c>
      <c r="G36" s="139">
        <f t="shared" si="21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0"/>
        <v>1.0000024586758063</v>
      </c>
      <c r="Y36" s="199">
        <f t="shared" si="8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21"/>
        <v>127086</v>
      </c>
      <c r="F37" s="139">
        <f t="shared" si="21"/>
        <v>9286.25</v>
      </c>
      <c r="G37" s="139">
        <f t="shared" si="21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0"/>
        <v>1.0000010768609504</v>
      </c>
      <c r="Y37" s="199">
        <f t="shared" si="8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42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0"/>
        <v>1.0000025097881737</v>
      </c>
      <c r="Y38" s="199">
        <f t="shared" si="8"/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42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0"/>
        <v>1</v>
      </c>
      <c r="Y39" s="199">
        <f t="shared" si="8"/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42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0"/>
        <v>1</v>
      </c>
      <c r="Y40" s="199">
        <f t="shared" si="8"/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42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0"/>
        <v>1.0000066988210075</v>
      </c>
      <c r="Y41" s="199">
        <f t="shared" si="8"/>
        <v>0.01493064781102893</v>
      </c>
    </row>
    <row r="42" spans="1:25" s="6" customFormat="1" ht="18" hidden="1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9">
        <f t="shared" si="8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2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9">
        <f t="shared" si="8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2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9">
        <f t="shared" si="8"/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2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9">
        <f t="shared" si="8"/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2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9">
        <f t="shared" si="8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2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9">
        <f t="shared" si="8"/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2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9">
        <f t="shared" si="8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2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9">
        <f t="shared" si="8"/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2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9">
        <f t="shared" si="8"/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2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9">
        <f t="shared" si="8"/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9">
        <f t="shared" si="8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3" ref="I53:I72">G53/F53</f>
        <v>0.9999999999999999</v>
      </c>
      <c r="J53" s="104">
        <f>G53-E53</f>
        <v>-44001.14</v>
      </c>
      <c r="K53" s="156">
        <f aca="true" t="shared" si="24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 t="shared" si="8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1.11</v>
      </c>
      <c r="G54" s="106">
        <v>1.11</v>
      </c>
      <c r="H54" s="102">
        <f aca="true" t="shared" si="25" ref="H54:H78">G54-F54</f>
        <v>0</v>
      </c>
      <c r="I54" s="213">
        <f t="shared" si="23"/>
        <v>1</v>
      </c>
      <c r="J54" s="115">
        <f>G54-E54</f>
        <v>-2648.89</v>
      </c>
      <c r="K54" s="155">
        <f t="shared" si="24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6" ref="W54:W78">V54-U54</f>
        <v>0</v>
      </c>
      <c r="X54" s="155">
        <f>V54/U54</f>
        <v>1</v>
      </c>
      <c r="Y54" s="199">
        <f t="shared" si="8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0</v>
      </c>
      <c r="G55" s="106">
        <v>0</v>
      </c>
      <c r="H55" s="102">
        <f t="shared" si="25"/>
        <v>0</v>
      </c>
      <c r="I55" s="213" t="e">
        <f t="shared" si="23"/>
        <v>#DIV/0!</v>
      </c>
      <c r="J55" s="115">
        <f aca="true" t="shared" si="27" ref="J55:J78">G55-E55</f>
        <v>-5000</v>
      </c>
      <c r="K55" s="155">
        <f t="shared" si="24"/>
        <v>0</v>
      </c>
      <c r="L55" s="115"/>
      <c r="M55" s="115"/>
      <c r="N55" s="115"/>
      <c r="O55" s="115">
        <v>27997.6</v>
      </c>
      <c r="P55" s="115">
        <f aca="true" t="shared" si="28" ref="P55:P72">E55-O55</f>
        <v>-22997.6</v>
      </c>
      <c r="Q55" s="155">
        <f aca="true" t="shared" si="29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0" ref="T55:T78">G55/R55</f>
        <v>#DIV/0!</v>
      </c>
      <c r="U55" s="107">
        <f aca="true" t="shared" si="31" ref="U55:U66">F55</f>
        <v>0</v>
      </c>
      <c r="V55" s="110">
        <f aca="true" t="shared" si="32" ref="V55:V66">G55</f>
        <v>0</v>
      </c>
      <c r="W55" s="111">
        <f t="shared" si="26"/>
        <v>0</v>
      </c>
      <c r="X55" s="155" t="e">
        <f aca="true" t="shared" si="33" ref="X55:X77">V55/U55</f>
        <v>#DIV/0!</v>
      </c>
      <c r="Y55" s="199" t="e">
        <f t="shared" si="8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0</v>
      </c>
      <c r="G56" s="106">
        <v>0</v>
      </c>
      <c r="H56" s="102">
        <f t="shared" si="25"/>
        <v>0</v>
      </c>
      <c r="I56" s="213" t="e">
        <f t="shared" si="23"/>
        <v>#DIV/0!</v>
      </c>
      <c r="J56" s="115">
        <f t="shared" si="27"/>
        <v>-158</v>
      </c>
      <c r="K56" s="155">
        <f t="shared" si="24"/>
        <v>0</v>
      </c>
      <c r="L56" s="115"/>
      <c r="M56" s="115"/>
      <c r="N56" s="115"/>
      <c r="O56" s="115">
        <v>153.3</v>
      </c>
      <c r="P56" s="115">
        <f t="shared" si="28"/>
        <v>4.699999999999989</v>
      </c>
      <c r="Q56" s="155">
        <f t="shared" si="29"/>
        <v>1.030658838878017</v>
      </c>
      <c r="R56" s="115">
        <v>14.87</v>
      </c>
      <c r="S56" s="115">
        <f t="shared" si="5"/>
        <v>-14.87</v>
      </c>
      <c r="T56" s="155">
        <f t="shared" si="30"/>
        <v>0</v>
      </c>
      <c r="U56" s="107">
        <f t="shared" si="31"/>
        <v>0</v>
      </c>
      <c r="V56" s="110">
        <f t="shared" si="32"/>
        <v>0</v>
      </c>
      <c r="W56" s="111">
        <f t="shared" si="26"/>
        <v>0</v>
      </c>
      <c r="X56" s="155" t="e">
        <f t="shared" si="33"/>
        <v>#DIV/0!</v>
      </c>
      <c r="Y56" s="199">
        <f t="shared" si="8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2</v>
      </c>
      <c r="G57" s="106">
        <v>2.02</v>
      </c>
      <c r="H57" s="102">
        <f t="shared" si="25"/>
        <v>0.020000000000000018</v>
      </c>
      <c r="I57" s="213">
        <f t="shared" si="23"/>
        <v>1.01</v>
      </c>
      <c r="J57" s="115">
        <f t="shared" si="27"/>
        <v>-10.98</v>
      </c>
      <c r="K57" s="155">
        <f t="shared" si="24"/>
        <v>0.1553846153846154</v>
      </c>
      <c r="L57" s="115"/>
      <c r="M57" s="115"/>
      <c r="N57" s="115"/>
      <c r="O57" s="115">
        <v>12.95</v>
      </c>
      <c r="P57" s="115">
        <f t="shared" si="28"/>
        <v>0.05000000000000071</v>
      </c>
      <c r="Q57" s="225">
        <f t="shared" si="29"/>
        <v>1.0038610038610039</v>
      </c>
      <c r="R57" s="115">
        <v>0</v>
      </c>
      <c r="S57" s="115">
        <f t="shared" si="5"/>
        <v>2.02</v>
      </c>
      <c r="T57" s="155"/>
      <c r="U57" s="107">
        <f t="shared" si="31"/>
        <v>2</v>
      </c>
      <c r="V57" s="110">
        <f t="shared" si="32"/>
        <v>2.02</v>
      </c>
      <c r="W57" s="111">
        <f t="shared" si="26"/>
        <v>0.020000000000000018</v>
      </c>
      <c r="X57" s="155">
        <f t="shared" si="33"/>
        <v>1.01</v>
      </c>
      <c r="Y57" s="199">
        <f t="shared" si="8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28.43</v>
      </c>
      <c r="G58" s="106">
        <v>28.43</v>
      </c>
      <c r="H58" s="102">
        <f t="shared" si="25"/>
        <v>0</v>
      </c>
      <c r="I58" s="213">
        <f t="shared" si="23"/>
        <v>1</v>
      </c>
      <c r="J58" s="115">
        <f t="shared" si="27"/>
        <v>-715.57</v>
      </c>
      <c r="K58" s="155">
        <f t="shared" si="24"/>
        <v>0.03821236559139785</v>
      </c>
      <c r="L58" s="115"/>
      <c r="M58" s="115"/>
      <c r="N58" s="115"/>
      <c r="O58" s="115">
        <v>705.31</v>
      </c>
      <c r="P58" s="115">
        <f t="shared" si="28"/>
        <v>38.690000000000055</v>
      </c>
      <c r="Q58" s="155">
        <f t="shared" si="29"/>
        <v>1.0548553118486907</v>
      </c>
      <c r="R58" s="115">
        <v>11.17</v>
      </c>
      <c r="S58" s="115">
        <f t="shared" si="5"/>
        <v>17.259999999999998</v>
      </c>
      <c r="T58" s="155">
        <f t="shared" si="30"/>
        <v>2.5452103849597134</v>
      </c>
      <c r="U58" s="107">
        <f t="shared" si="31"/>
        <v>28.43</v>
      </c>
      <c r="V58" s="110">
        <f t="shared" si="32"/>
        <v>28.43</v>
      </c>
      <c r="W58" s="111">
        <f t="shared" si="26"/>
        <v>0</v>
      </c>
      <c r="X58" s="155">
        <f t="shared" si="33"/>
        <v>1</v>
      </c>
      <c r="Y58" s="199">
        <f t="shared" si="8"/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8">
        <v>115.5</v>
      </c>
      <c r="E59" s="102">
        <v>115.5</v>
      </c>
      <c r="F59" s="102">
        <v>0</v>
      </c>
      <c r="G59" s="106">
        <v>-6.55</v>
      </c>
      <c r="H59" s="102">
        <f t="shared" si="25"/>
        <v>-6.55</v>
      </c>
      <c r="I59" s="213" t="e">
        <f t="shared" si="23"/>
        <v>#DIV/0!</v>
      </c>
      <c r="J59" s="115">
        <f t="shared" si="27"/>
        <v>-122.05</v>
      </c>
      <c r="K59" s="155">
        <f t="shared" si="24"/>
        <v>-0.05670995670995671</v>
      </c>
      <c r="L59" s="115"/>
      <c r="M59" s="115"/>
      <c r="N59" s="115"/>
      <c r="O59" s="115">
        <v>114.3</v>
      </c>
      <c r="P59" s="115">
        <f t="shared" si="28"/>
        <v>1.2000000000000028</v>
      </c>
      <c r="Q59" s="155">
        <f t="shared" si="29"/>
        <v>1.010498687664042</v>
      </c>
      <c r="R59" s="115">
        <v>0</v>
      </c>
      <c r="S59" s="115">
        <f t="shared" si="5"/>
        <v>-6.55</v>
      </c>
      <c r="T59" s="155" t="e">
        <f t="shared" si="30"/>
        <v>#DIV/0!</v>
      </c>
      <c r="U59" s="107">
        <f t="shared" si="31"/>
        <v>0</v>
      </c>
      <c r="V59" s="110">
        <f t="shared" si="32"/>
        <v>-6.55</v>
      </c>
      <c r="W59" s="111">
        <f t="shared" si="26"/>
        <v>-6.55</v>
      </c>
      <c r="X59" s="155" t="e">
        <f t="shared" si="33"/>
        <v>#DIV/0!</v>
      </c>
      <c r="Y59" s="199" t="e">
        <f t="shared" si="8"/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49">
        <v>1284</v>
      </c>
      <c r="E60" s="102">
        <v>1284</v>
      </c>
      <c r="F60" s="102">
        <v>89.19</v>
      </c>
      <c r="G60" s="106">
        <v>89.19</v>
      </c>
      <c r="H60" s="102">
        <f t="shared" si="25"/>
        <v>0</v>
      </c>
      <c r="I60" s="213">
        <f t="shared" si="23"/>
        <v>1</v>
      </c>
      <c r="J60" s="115">
        <f t="shared" si="27"/>
        <v>-1194.81</v>
      </c>
      <c r="K60" s="155">
        <f t="shared" si="24"/>
        <v>0.0694626168224299</v>
      </c>
      <c r="L60" s="115"/>
      <c r="M60" s="115"/>
      <c r="N60" s="115"/>
      <c r="O60" s="115">
        <v>1205.14</v>
      </c>
      <c r="P60" s="115">
        <f t="shared" si="28"/>
        <v>78.8599999999999</v>
      </c>
      <c r="Q60" s="155">
        <f t="shared" si="29"/>
        <v>1.0654363808354215</v>
      </c>
      <c r="R60" s="115">
        <v>89.45</v>
      </c>
      <c r="S60" s="115">
        <f t="shared" si="5"/>
        <v>-0.2600000000000051</v>
      </c>
      <c r="T60" s="155">
        <f t="shared" si="30"/>
        <v>0.9970933482392398</v>
      </c>
      <c r="U60" s="107">
        <f t="shared" si="31"/>
        <v>89.19</v>
      </c>
      <c r="V60" s="110">
        <f t="shared" si="32"/>
        <v>89.19</v>
      </c>
      <c r="W60" s="111">
        <f t="shared" si="26"/>
        <v>0</v>
      </c>
      <c r="X60" s="155">
        <f t="shared" si="33"/>
        <v>1</v>
      </c>
      <c r="Y60" s="199">
        <f t="shared" si="8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5"/>
      <c r="E61" s="102"/>
      <c r="F61" s="102">
        <v>0</v>
      </c>
      <c r="G61" s="106">
        <v>0</v>
      </c>
      <c r="H61" s="102">
        <f t="shared" si="25"/>
        <v>0</v>
      </c>
      <c r="I61" s="213" t="e">
        <f t="shared" si="23"/>
        <v>#DIV/0!</v>
      </c>
      <c r="J61" s="115">
        <f t="shared" si="27"/>
        <v>0</v>
      </c>
      <c r="K61" s="155" t="e">
        <f t="shared" si="24"/>
        <v>#DIV/0!</v>
      </c>
      <c r="L61" s="115"/>
      <c r="M61" s="115"/>
      <c r="N61" s="115"/>
      <c r="O61" s="115">
        <v>23.38</v>
      </c>
      <c r="P61" s="115">
        <f t="shared" si="28"/>
        <v>-23.38</v>
      </c>
      <c r="Q61" s="155">
        <f t="shared" si="29"/>
        <v>0</v>
      </c>
      <c r="R61" s="115">
        <v>0</v>
      </c>
      <c r="S61" s="115">
        <f t="shared" si="5"/>
        <v>0</v>
      </c>
      <c r="T61" s="155"/>
      <c r="U61" s="107">
        <f t="shared" si="31"/>
        <v>0</v>
      </c>
      <c r="V61" s="110">
        <f t="shared" si="32"/>
        <v>0</v>
      </c>
      <c r="W61" s="111">
        <f t="shared" si="26"/>
        <v>0</v>
      </c>
      <c r="X61" s="155" t="e">
        <f t="shared" si="33"/>
        <v>#DIV/0!</v>
      </c>
      <c r="Y61" s="199">
        <f t="shared" si="8"/>
        <v>0</v>
      </c>
    </row>
    <row r="62" spans="1:25" s="6" customFormat="1" ht="18">
      <c r="A62" s="8"/>
      <c r="B62" s="193" t="s">
        <v>65</v>
      </c>
      <c r="C62" s="57">
        <v>22012500</v>
      </c>
      <c r="D62" s="248">
        <v>21260</v>
      </c>
      <c r="E62" s="102">
        <v>21260</v>
      </c>
      <c r="F62" s="102">
        <v>1890</v>
      </c>
      <c r="G62" s="106">
        <v>1894.1</v>
      </c>
      <c r="H62" s="102">
        <f t="shared" si="25"/>
        <v>4.099999999999909</v>
      </c>
      <c r="I62" s="213">
        <f t="shared" si="23"/>
        <v>1.002169312169312</v>
      </c>
      <c r="J62" s="115">
        <f t="shared" si="27"/>
        <v>-19365.9</v>
      </c>
      <c r="K62" s="155">
        <f t="shared" si="24"/>
        <v>0.08909219190968955</v>
      </c>
      <c r="L62" s="115"/>
      <c r="M62" s="115"/>
      <c r="N62" s="115"/>
      <c r="O62" s="115">
        <v>20110.14</v>
      </c>
      <c r="P62" s="115">
        <f t="shared" si="28"/>
        <v>1149.8600000000006</v>
      </c>
      <c r="Q62" s="155">
        <f t="shared" si="29"/>
        <v>1.0571781200926498</v>
      </c>
      <c r="R62" s="115">
        <v>1052.56</v>
      </c>
      <c r="S62" s="115">
        <f t="shared" si="5"/>
        <v>841.54</v>
      </c>
      <c r="T62" s="155">
        <f t="shared" si="30"/>
        <v>1.7995173671809683</v>
      </c>
      <c r="U62" s="107">
        <f t="shared" si="31"/>
        <v>1890</v>
      </c>
      <c r="V62" s="110">
        <f t="shared" si="32"/>
        <v>1894.1</v>
      </c>
      <c r="W62" s="111">
        <f t="shared" si="26"/>
        <v>4.099999999999909</v>
      </c>
      <c r="X62" s="155">
        <f t="shared" si="33"/>
        <v>1.002169312169312</v>
      </c>
      <c r="Y62" s="199">
        <f t="shared" si="8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8">
        <v>767</v>
      </c>
      <c r="E63" s="102">
        <v>767</v>
      </c>
      <c r="F63" s="102">
        <f>56.1+0.9</f>
        <v>57</v>
      </c>
      <c r="G63" s="106">
        <v>59.37</v>
      </c>
      <c r="H63" s="102">
        <f t="shared" si="25"/>
        <v>2.3699999999999974</v>
      </c>
      <c r="I63" s="213">
        <f t="shared" si="23"/>
        <v>1.041578947368421</v>
      </c>
      <c r="J63" s="115">
        <f t="shared" si="27"/>
        <v>-707.63</v>
      </c>
      <c r="K63" s="155">
        <f t="shared" si="24"/>
        <v>0.07740547588005214</v>
      </c>
      <c r="L63" s="115"/>
      <c r="M63" s="115"/>
      <c r="N63" s="115"/>
      <c r="O63" s="115">
        <v>710.04</v>
      </c>
      <c r="P63" s="115">
        <f t="shared" si="28"/>
        <v>56.960000000000036</v>
      </c>
      <c r="Q63" s="155">
        <f t="shared" si="29"/>
        <v>1.0802208326291478</v>
      </c>
      <c r="R63" s="115">
        <v>44.53</v>
      </c>
      <c r="S63" s="115">
        <f t="shared" si="5"/>
        <v>14.839999999999996</v>
      </c>
      <c r="T63" s="155">
        <f t="shared" si="30"/>
        <v>1.3332584774309453</v>
      </c>
      <c r="U63" s="107">
        <f t="shared" si="31"/>
        <v>57</v>
      </c>
      <c r="V63" s="110">
        <f t="shared" si="32"/>
        <v>59.37</v>
      </c>
      <c r="W63" s="111">
        <f t="shared" si="26"/>
        <v>2.3699999999999974</v>
      </c>
      <c r="X63" s="155">
        <f t="shared" si="33"/>
        <v>1.041578947368421</v>
      </c>
      <c r="Y63" s="199">
        <f t="shared" si="8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8">
        <v>44</v>
      </c>
      <c r="E64" s="102">
        <v>44</v>
      </c>
      <c r="F64" s="102">
        <v>1</v>
      </c>
      <c r="G64" s="106">
        <v>1.06</v>
      </c>
      <c r="H64" s="102">
        <f t="shared" si="25"/>
        <v>0.06000000000000005</v>
      </c>
      <c r="I64" s="213">
        <f t="shared" si="23"/>
        <v>1.06</v>
      </c>
      <c r="J64" s="115">
        <f t="shared" si="27"/>
        <v>-42.94</v>
      </c>
      <c r="K64" s="155">
        <f t="shared" si="24"/>
        <v>0.024090909090909093</v>
      </c>
      <c r="L64" s="115"/>
      <c r="M64" s="115"/>
      <c r="N64" s="115"/>
      <c r="O64" s="115">
        <v>41.44</v>
      </c>
      <c r="P64" s="115">
        <f t="shared" si="28"/>
        <v>2.5600000000000023</v>
      </c>
      <c r="Q64" s="155">
        <f t="shared" si="29"/>
        <v>1.0617760617760619</v>
      </c>
      <c r="R64" s="115">
        <v>0</v>
      </c>
      <c r="S64" s="115">
        <f t="shared" si="5"/>
        <v>1.06</v>
      </c>
      <c r="T64" s="155" t="e">
        <f t="shared" si="30"/>
        <v>#DIV/0!</v>
      </c>
      <c r="U64" s="107">
        <f t="shared" si="31"/>
        <v>1</v>
      </c>
      <c r="V64" s="110">
        <f t="shared" si="32"/>
        <v>1.06</v>
      </c>
      <c r="W64" s="111">
        <f t="shared" si="26"/>
        <v>0.06000000000000005</v>
      </c>
      <c r="X64" s="155">
        <f t="shared" si="33"/>
        <v>1.06</v>
      </c>
      <c r="Y64" s="199" t="e">
        <f t="shared" si="8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564.14</v>
      </c>
      <c r="G65" s="106">
        <v>564.14</v>
      </c>
      <c r="H65" s="102">
        <f t="shared" si="25"/>
        <v>0</v>
      </c>
      <c r="I65" s="213">
        <f t="shared" si="23"/>
        <v>1</v>
      </c>
      <c r="J65" s="115">
        <f t="shared" si="27"/>
        <v>-5435.86</v>
      </c>
      <c r="K65" s="155">
        <f t="shared" si="24"/>
        <v>0.09402333333333333</v>
      </c>
      <c r="L65" s="115"/>
      <c r="M65" s="115"/>
      <c r="N65" s="115"/>
      <c r="O65" s="115">
        <v>6545.96</v>
      </c>
      <c r="P65" s="115">
        <f t="shared" si="28"/>
        <v>-545.96</v>
      </c>
      <c r="Q65" s="155">
        <f t="shared" si="29"/>
        <v>0.9165958850955398</v>
      </c>
      <c r="R65" s="115">
        <v>684.99</v>
      </c>
      <c r="S65" s="115">
        <f t="shared" si="5"/>
        <v>-120.85000000000002</v>
      </c>
      <c r="T65" s="155">
        <f t="shared" si="30"/>
        <v>0.8235740667746974</v>
      </c>
      <c r="U65" s="107">
        <f t="shared" si="31"/>
        <v>564.14</v>
      </c>
      <c r="V65" s="110">
        <f t="shared" si="32"/>
        <v>564.14</v>
      </c>
      <c r="W65" s="111">
        <f t="shared" si="26"/>
        <v>0</v>
      </c>
      <c r="X65" s="155">
        <f t="shared" si="33"/>
        <v>1</v>
      </c>
      <c r="Y65" s="199">
        <f t="shared" si="8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5"/>
        <v>0</v>
      </c>
      <c r="I66" s="213">
        <f t="shared" si="23"/>
        <v>1</v>
      </c>
      <c r="J66" s="115">
        <f t="shared" si="27"/>
        <v>-819.76</v>
      </c>
      <c r="K66" s="155">
        <f t="shared" si="24"/>
        <v>0.05339491916859122</v>
      </c>
      <c r="L66" s="115"/>
      <c r="M66" s="115"/>
      <c r="N66" s="115"/>
      <c r="O66" s="115">
        <v>896.22</v>
      </c>
      <c r="P66" s="115">
        <f t="shared" si="28"/>
        <v>-30.220000000000027</v>
      </c>
      <c r="Q66" s="155">
        <f t="shared" si="29"/>
        <v>0.9662806007453527</v>
      </c>
      <c r="R66" s="115">
        <v>40.09</v>
      </c>
      <c r="S66" s="115">
        <f t="shared" si="5"/>
        <v>6.149999999999999</v>
      </c>
      <c r="T66" s="155">
        <f t="shared" si="30"/>
        <v>1.153404839111998</v>
      </c>
      <c r="U66" s="107">
        <f t="shared" si="31"/>
        <v>46.24</v>
      </c>
      <c r="V66" s="110">
        <f t="shared" si="32"/>
        <v>46.24</v>
      </c>
      <c r="W66" s="111">
        <f t="shared" si="26"/>
        <v>0</v>
      </c>
      <c r="X66" s="155">
        <f t="shared" si="33"/>
        <v>1</v>
      </c>
      <c r="Y66" s="199">
        <f t="shared" si="8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34.42</v>
      </c>
      <c r="G67" s="94">
        <v>34.42</v>
      </c>
      <c r="H67" s="71">
        <f t="shared" si="25"/>
        <v>0</v>
      </c>
      <c r="I67" s="209">
        <f t="shared" si="23"/>
        <v>1</v>
      </c>
      <c r="J67" s="72">
        <f t="shared" si="27"/>
        <v>-693.7800000000001</v>
      </c>
      <c r="K67" s="75">
        <f t="shared" si="24"/>
        <v>0.04726723427629772</v>
      </c>
      <c r="L67" s="72"/>
      <c r="M67" s="72"/>
      <c r="N67" s="72"/>
      <c r="O67" s="72">
        <v>760.62</v>
      </c>
      <c r="P67" s="72">
        <f t="shared" si="28"/>
        <v>-32.41999999999996</v>
      </c>
      <c r="Q67" s="75">
        <f t="shared" si="29"/>
        <v>0.957376876758434</v>
      </c>
      <c r="R67" s="72">
        <v>32.81</v>
      </c>
      <c r="S67" s="203">
        <f t="shared" si="5"/>
        <v>1.6099999999999994</v>
      </c>
      <c r="T67" s="204">
        <f t="shared" si="30"/>
        <v>1.0490704053642181</v>
      </c>
      <c r="U67" s="73">
        <f aca="true" t="shared" si="34" ref="U67:V71">F67</f>
        <v>34.42</v>
      </c>
      <c r="V67" s="98">
        <f t="shared" si="34"/>
        <v>34.42</v>
      </c>
      <c r="W67" s="74">
        <f t="shared" si="26"/>
        <v>0</v>
      </c>
      <c r="X67" s="75">
        <f t="shared" si="33"/>
        <v>1</v>
      </c>
      <c r="Y67" s="199">
        <f t="shared" si="8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</v>
      </c>
      <c r="H68" s="71">
        <f t="shared" si="25"/>
        <v>0</v>
      </c>
      <c r="I68" s="209" t="e">
        <f t="shared" si="23"/>
        <v>#DIV/0!</v>
      </c>
      <c r="J68" s="72">
        <f t="shared" si="27"/>
        <v>-1</v>
      </c>
      <c r="K68" s="75">
        <f t="shared" si="24"/>
        <v>0</v>
      </c>
      <c r="L68" s="72"/>
      <c r="M68" s="72"/>
      <c r="N68" s="72"/>
      <c r="O68" s="72">
        <v>0.18</v>
      </c>
      <c r="P68" s="72">
        <f t="shared" si="28"/>
        <v>0.8200000000000001</v>
      </c>
      <c r="Q68" s="75">
        <f t="shared" si="29"/>
        <v>5.555555555555555</v>
      </c>
      <c r="R68" s="72">
        <v>0.01</v>
      </c>
      <c r="S68" s="203">
        <f t="shared" si="5"/>
        <v>-0.01</v>
      </c>
      <c r="T68" s="204">
        <f t="shared" si="30"/>
        <v>0</v>
      </c>
      <c r="U68" s="73">
        <f t="shared" si="34"/>
        <v>0</v>
      </c>
      <c r="V68" s="98">
        <f t="shared" si="34"/>
        <v>0</v>
      </c>
      <c r="W68" s="74">
        <f t="shared" si="26"/>
        <v>0</v>
      </c>
      <c r="X68" s="75"/>
      <c r="Y68" s="199">
        <f t="shared" si="8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/>
      <c r="F69" s="71">
        <v>0</v>
      </c>
      <c r="G69" s="94">
        <v>0</v>
      </c>
      <c r="H69" s="71">
        <f t="shared" si="25"/>
        <v>0</v>
      </c>
      <c r="I69" s="209" t="e">
        <f t="shared" si="23"/>
        <v>#DIV/0!</v>
      </c>
      <c r="J69" s="72">
        <f t="shared" si="27"/>
        <v>0</v>
      </c>
      <c r="K69" s="75" t="e">
        <f t="shared" si="24"/>
        <v>#DIV/0!</v>
      </c>
      <c r="L69" s="72"/>
      <c r="M69" s="72"/>
      <c r="N69" s="72"/>
      <c r="O69" s="72">
        <v>0</v>
      </c>
      <c r="P69" s="72">
        <f t="shared" si="28"/>
        <v>0</v>
      </c>
      <c r="Q69" s="75" t="e">
        <f t="shared" si="29"/>
        <v>#DIV/0!</v>
      </c>
      <c r="R69" s="72">
        <f>O69</f>
        <v>0</v>
      </c>
      <c r="S69" s="203">
        <f t="shared" si="5"/>
        <v>0</v>
      </c>
      <c r="T69" s="204" t="e">
        <f t="shared" si="30"/>
        <v>#DIV/0!</v>
      </c>
      <c r="U69" s="73">
        <f t="shared" si="34"/>
        <v>0</v>
      </c>
      <c r="V69" s="98">
        <f t="shared" si="34"/>
        <v>0</v>
      </c>
      <c r="W69" s="74">
        <f t="shared" si="26"/>
        <v>0</v>
      </c>
      <c r="X69" s="75"/>
      <c r="Y69" s="199" t="e">
        <f t="shared" si="8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3">
        <v>136.8</v>
      </c>
      <c r="E70" s="71">
        <v>136.8</v>
      </c>
      <c r="F70" s="71">
        <v>11.82</v>
      </c>
      <c r="G70" s="94">
        <v>11.82</v>
      </c>
      <c r="H70" s="71">
        <f t="shared" si="25"/>
        <v>0</v>
      </c>
      <c r="I70" s="209">
        <f t="shared" si="23"/>
        <v>1</v>
      </c>
      <c r="J70" s="72">
        <f t="shared" si="27"/>
        <v>-124.98000000000002</v>
      </c>
      <c r="K70" s="75">
        <f t="shared" si="24"/>
        <v>0.08640350877192982</v>
      </c>
      <c r="L70" s="72"/>
      <c r="M70" s="72"/>
      <c r="N70" s="72"/>
      <c r="O70" s="72">
        <v>135.42</v>
      </c>
      <c r="P70" s="72">
        <f t="shared" si="28"/>
        <v>1.3800000000000239</v>
      </c>
      <c r="Q70" s="75">
        <f t="shared" si="29"/>
        <v>1.01019051838724</v>
      </c>
      <c r="R70" s="72">
        <v>7.27</v>
      </c>
      <c r="S70" s="203">
        <f t="shared" si="5"/>
        <v>4.550000000000001</v>
      </c>
      <c r="T70" s="204">
        <f t="shared" si="30"/>
        <v>1.62585969738652</v>
      </c>
      <c r="U70" s="73">
        <f t="shared" si="34"/>
        <v>11.82</v>
      </c>
      <c r="V70" s="98">
        <f t="shared" si="34"/>
        <v>11.82</v>
      </c>
      <c r="W70" s="74">
        <f t="shared" si="26"/>
        <v>0</v>
      </c>
      <c r="X70" s="75">
        <f t="shared" si="33"/>
        <v>1</v>
      </c>
      <c r="Y70" s="199">
        <f t="shared" si="8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2">
        <v>3</v>
      </c>
      <c r="E71" s="102">
        <v>3</v>
      </c>
      <c r="F71" s="102">
        <v>0</v>
      </c>
      <c r="G71" s="106">
        <v>0</v>
      </c>
      <c r="H71" s="102">
        <f t="shared" si="25"/>
        <v>0</v>
      </c>
      <c r="I71" s="213" t="e">
        <f t="shared" si="23"/>
        <v>#DIV/0!</v>
      </c>
      <c r="J71" s="115">
        <f t="shared" si="27"/>
        <v>-3</v>
      </c>
      <c r="K71" s="155">
        <f t="shared" si="24"/>
        <v>0</v>
      </c>
      <c r="L71" s="115"/>
      <c r="M71" s="115"/>
      <c r="N71" s="115"/>
      <c r="O71" s="115">
        <v>2.04</v>
      </c>
      <c r="P71" s="115">
        <f t="shared" si="28"/>
        <v>0.96</v>
      </c>
      <c r="Q71" s="155">
        <f t="shared" si="29"/>
        <v>1.4705882352941175</v>
      </c>
      <c r="R71" s="115">
        <v>1.67</v>
      </c>
      <c r="S71" s="115">
        <f t="shared" si="5"/>
        <v>-1.67</v>
      </c>
      <c r="T71" s="155">
        <f t="shared" si="30"/>
        <v>0</v>
      </c>
      <c r="U71" s="107">
        <f t="shared" si="34"/>
        <v>0</v>
      </c>
      <c r="V71" s="110">
        <f t="shared" si="34"/>
        <v>0</v>
      </c>
      <c r="W71" s="111">
        <f t="shared" si="26"/>
        <v>0</v>
      </c>
      <c r="X71" s="155"/>
      <c r="Y71" s="199">
        <f t="shared" si="8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2">
        <v>8170</v>
      </c>
      <c r="E72" s="102">
        <v>8170</v>
      </c>
      <c r="F72" s="102">
        <v>568.65</v>
      </c>
      <c r="G72" s="106">
        <v>568.65</v>
      </c>
      <c r="H72" s="102">
        <f t="shared" si="25"/>
        <v>0</v>
      </c>
      <c r="I72" s="213">
        <f t="shared" si="23"/>
        <v>1</v>
      </c>
      <c r="J72" s="115">
        <f t="shared" si="27"/>
        <v>-7601.35</v>
      </c>
      <c r="K72" s="155">
        <f t="shared" si="24"/>
        <v>0.06960220318237453</v>
      </c>
      <c r="L72" s="115"/>
      <c r="M72" s="115"/>
      <c r="N72" s="115"/>
      <c r="O72" s="115">
        <v>8086.92</v>
      </c>
      <c r="P72" s="115">
        <f t="shared" si="28"/>
        <v>83.07999999999993</v>
      </c>
      <c r="Q72" s="155">
        <f t="shared" si="29"/>
        <v>1.0102733797292418</v>
      </c>
      <c r="R72" s="115">
        <v>2247.33</v>
      </c>
      <c r="S72" s="115">
        <f t="shared" si="5"/>
        <v>-1678.6799999999998</v>
      </c>
      <c r="T72" s="155">
        <f t="shared" si="30"/>
        <v>0.2530335998718479</v>
      </c>
      <c r="U72" s="107">
        <f aca="true" t="shared" si="35" ref="U72:U78">F72</f>
        <v>568.65</v>
      </c>
      <c r="V72" s="110">
        <f aca="true" t="shared" si="36" ref="V72:V78">G72</f>
        <v>568.65</v>
      </c>
      <c r="W72" s="111">
        <f t="shared" si="26"/>
        <v>0</v>
      </c>
      <c r="X72" s="155">
        <f t="shared" si="33"/>
        <v>1</v>
      </c>
      <c r="Y72" s="199">
        <f aca="true" t="shared" si="37" ref="Y72:Y101">T72-Q72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3"/>
      <c r="E73" s="24"/>
      <c r="F73" s="24">
        <v>0</v>
      </c>
      <c r="G73" s="93">
        <v>0</v>
      </c>
      <c r="H73" s="102">
        <f t="shared" si="25"/>
        <v>0</v>
      </c>
      <c r="I73" s="213" t="e">
        <f>G73/F73*100</f>
        <v>#DIV/0!</v>
      </c>
      <c r="J73" s="115">
        <f t="shared" si="27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0"/>
        <v>#DIV/0!</v>
      </c>
      <c r="U73" s="107">
        <f t="shared" si="35"/>
        <v>0</v>
      </c>
      <c r="V73" s="110">
        <f t="shared" si="36"/>
        <v>0</v>
      </c>
      <c r="W73" s="111">
        <f t="shared" si="26"/>
        <v>0</v>
      </c>
      <c r="X73" s="155" t="e">
        <f t="shared" si="33"/>
        <v>#DIV/0!</v>
      </c>
      <c r="Y73" s="199" t="e">
        <f t="shared" si="37"/>
        <v>#DIV/0!</v>
      </c>
    </row>
    <row r="74" spans="1:25" s="6" customFormat="1" ht="30.75" hidden="1">
      <c r="A74" s="8"/>
      <c r="B74" s="41" t="s">
        <v>37</v>
      </c>
      <c r="C74" s="49"/>
      <c r="D74" s="253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0"/>
        <v>0</v>
      </c>
      <c r="U74" s="107">
        <f t="shared" si="35"/>
        <v>0</v>
      </c>
      <c r="V74" s="110">
        <f t="shared" si="36"/>
        <v>0</v>
      </c>
      <c r="W74" s="116">
        <f t="shared" si="26"/>
        <v>0</v>
      </c>
      <c r="X74" s="155"/>
      <c r="Y74" s="199">
        <f t="shared" si="37"/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4"/>
      <c r="E75" s="27"/>
      <c r="F75" s="27">
        <v>0</v>
      </c>
      <c r="G75" s="95">
        <v>0</v>
      </c>
      <c r="H75" s="102">
        <f t="shared" si="25"/>
        <v>0</v>
      </c>
      <c r="I75" s="213" t="e">
        <f>G75/F75*100</f>
        <v>#DIV/0!</v>
      </c>
      <c r="J75" s="115">
        <f t="shared" si="27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0"/>
        <v>#DIV/0!</v>
      </c>
      <c r="U75" s="107">
        <f t="shared" si="35"/>
        <v>0</v>
      </c>
      <c r="V75" s="110">
        <f t="shared" si="36"/>
        <v>0</v>
      </c>
      <c r="W75" s="111">
        <f t="shared" si="26"/>
        <v>0</v>
      </c>
      <c r="X75" s="155" t="e">
        <f t="shared" si="33"/>
        <v>#DIV/0!</v>
      </c>
      <c r="Y75" s="199" t="e">
        <f t="shared" si="37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5"/>
        <v>0</v>
      </c>
      <c r="I76" s="213" t="e">
        <f>G76/F76</f>
        <v>#DIV/0!</v>
      </c>
      <c r="J76" s="115">
        <f t="shared" si="27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0"/>
        <v>0</v>
      </c>
      <c r="U76" s="107">
        <f t="shared" si="35"/>
        <v>0</v>
      </c>
      <c r="V76" s="110">
        <f t="shared" si="36"/>
        <v>0</v>
      </c>
      <c r="W76" s="111">
        <f t="shared" si="26"/>
        <v>0</v>
      </c>
      <c r="X76" s="155" t="e">
        <f t="shared" si="33"/>
        <v>#DIV/0!</v>
      </c>
      <c r="Y76" s="199">
        <f t="shared" si="37"/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3.77</v>
      </c>
      <c r="G77" s="106">
        <v>3.77</v>
      </c>
      <c r="H77" s="102">
        <f t="shared" si="25"/>
        <v>0</v>
      </c>
      <c r="I77" s="213">
        <f>G77/F77</f>
        <v>1</v>
      </c>
      <c r="J77" s="115">
        <f t="shared" si="27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0"/>
        <v>2.530201342281879</v>
      </c>
      <c r="U77" s="107">
        <f t="shared" si="35"/>
        <v>3.77</v>
      </c>
      <c r="V77" s="110">
        <f t="shared" si="36"/>
        <v>3.77</v>
      </c>
      <c r="W77" s="111">
        <f t="shared" si="26"/>
        <v>0</v>
      </c>
      <c r="X77" s="155">
        <f t="shared" si="33"/>
        <v>1</v>
      </c>
      <c r="Y77" s="199">
        <f t="shared" si="37"/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8"/>
      <c r="E78" s="102"/>
      <c r="F78" s="102">
        <f>E78</f>
        <v>0</v>
      </c>
      <c r="G78" s="106">
        <v>0</v>
      </c>
      <c r="H78" s="102">
        <f t="shared" si="25"/>
        <v>0</v>
      </c>
      <c r="I78" s="213" t="e">
        <f>G78/F78</f>
        <v>#DIV/0!</v>
      </c>
      <c r="J78" s="115">
        <f t="shared" si="27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0"/>
        <v>#DIV/0!</v>
      </c>
      <c r="U78" s="107">
        <f t="shared" si="35"/>
        <v>0</v>
      </c>
      <c r="V78" s="110">
        <f t="shared" si="36"/>
        <v>0</v>
      </c>
      <c r="W78" s="111">
        <f t="shared" si="26"/>
        <v>0</v>
      </c>
      <c r="X78" s="155"/>
      <c r="Y78" s="199" t="e">
        <f t="shared" si="37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 t="shared" si="37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 t="shared" si="37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 t="shared" si="37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 t="shared" si="37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 t="shared" si="37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 t="shared" si="37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 t="shared" si="37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 t="shared" si="37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9">
        <f t="shared" si="37"/>
        <v>0</v>
      </c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9">
        <f t="shared" si="37"/>
        <v>20155.420305071737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9">
        <f t="shared" si="37"/>
        <v>5.8748808807120305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9">
        <f t="shared" si="37"/>
        <v>0.47098835427749086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9">
        <f t="shared" si="37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9">
        <f t="shared" si="37"/>
        <v>8.878595804807398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9" t="e">
        <f t="shared" si="37"/>
        <v>#DIV/0!</v>
      </c>
    </row>
    <row r="94" spans="2:25" ht="18" hidden="1">
      <c r="B94" s="166" t="s">
        <v>47</v>
      </c>
      <c r="C94" s="58">
        <v>24061600</v>
      </c>
      <c r="D94" s="255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9" t="e">
        <f t="shared" si="37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9">
        <f t="shared" si="37"/>
        <v>39.2254454292993</v>
      </c>
    </row>
    <row r="96" spans="2:25" ht="31.5" hidden="1">
      <c r="B96" s="20" t="s">
        <v>45</v>
      </c>
      <c r="C96" s="58">
        <v>19050000</v>
      </c>
      <c r="D96" s="255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9" t="e">
        <f t="shared" si="37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9">
        <f t="shared" si="37"/>
        <v>38.06712299703705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9">
        <f t="shared" si="37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 t="shared" si="37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 t="shared" si="37"/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 t="shared" si="37"/>
        <v>0.016325691363779926</v>
      </c>
    </row>
    <row r="102" spans="2:25" ht="15">
      <c r="B102" s="258" t="s">
        <v>142</v>
      </c>
      <c r="D102" s="4"/>
      <c r="F102" s="78"/>
      <c r="G102" s="4"/>
      <c r="Y102" s="199"/>
    </row>
    <row r="103" spans="2:25" ht="15">
      <c r="B103" s="4" t="s">
        <v>143</v>
      </c>
      <c r="C103" s="259">
        <v>0</v>
      </c>
      <c r="D103" s="4" t="s">
        <v>144</v>
      </c>
      <c r="F103" s="78"/>
      <c r="G103" s="4"/>
      <c r="Y103" s="199"/>
    </row>
    <row r="104" spans="2:25" ht="30.75">
      <c r="B104" s="260" t="s">
        <v>145</v>
      </c>
      <c r="C104" s="261" t="e">
        <f>IF(W79&lt;0,ABS(W79/C103),0)</f>
        <v>#DIV/0!</v>
      </c>
      <c r="D104" s="4" t="s">
        <v>24</v>
      </c>
      <c r="F104" s="78"/>
      <c r="G104" s="261" t="e">
        <f>IF(H79&lt;0,ABS(H79/C103),0)</f>
        <v>#DIV/0!</v>
      </c>
      <c r="H104" s="262"/>
      <c r="I104" s="262"/>
      <c r="J104" s="262"/>
      <c r="V104" s="261" t="e">
        <f>IF(W79&lt;0,ABS(W79/C103),0)</f>
        <v>#DIV/0!</v>
      </c>
      <c r="Y104" s="199"/>
    </row>
    <row r="105" spans="2:25" ht="30.75">
      <c r="B105" s="263" t="s">
        <v>146</v>
      </c>
      <c r="C105" s="264">
        <v>43129</v>
      </c>
      <c r="D105" s="261"/>
      <c r="E105" s="261">
        <v>2330.8</v>
      </c>
      <c r="F105" s="78"/>
      <c r="G105" s="4" t="s">
        <v>147</v>
      </c>
      <c r="Y105" s="199"/>
    </row>
    <row r="106" spans="3:25" ht="15">
      <c r="C106" s="264">
        <v>43130</v>
      </c>
      <c r="D106" s="261"/>
      <c r="E106" s="261">
        <v>15629.9</v>
      </c>
      <c r="F106" s="78"/>
      <c r="G106" s="306"/>
      <c r="H106" s="306"/>
      <c r="I106" s="265"/>
      <c r="J106" s="266"/>
      <c r="Y106" s="199"/>
    </row>
    <row r="107" spans="3:25" ht="15">
      <c r="C107" s="264">
        <v>43131</v>
      </c>
      <c r="D107" s="261"/>
      <c r="E107" s="261">
        <v>15417.7</v>
      </c>
      <c r="F107" s="78"/>
      <c r="G107" s="306"/>
      <c r="H107" s="306"/>
      <c r="I107" s="265"/>
      <c r="J107" s="267"/>
      <c r="Y107" s="199"/>
    </row>
    <row r="108" spans="3:25" ht="15">
      <c r="C108" s="264"/>
      <c r="D108" s="4"/>
      <c r="F108" s="268"/>
      <c r="G108" s="307"/>
      <c r="H108" s="307"/>
      <c r="I108" s="269"/>
      <c r="J108" s="266"/>
      <c r="Y108" s="199"/>
    </row>
    <row r="109" spans="2:25" ht="16.5">
      <c r="B109" s="308" t="s">
        <v>148</v>
      </c>
      <c r="C109" s="308"/>
      <c r="D109" s="270"/>
      <c r="E109" s="270">
        <f>3396166.95/1000</f>
        <v>3396.1669500000003</v>
      </c>
      <c r="F109" s="271" t="s">
        <v>149</v>
      </c>
      <c r="G109" s="306"/>
      <c r="H109" s="306"/>
      <c r="I109" s="272"/>
      <c r="J109" s="266"/>
      <c r="Y109" s="199"/>
    </row>
  </sheetData>
  <sheetProtection/>
  <mergeCells count="27">
    <mergeCell ref="X4:X5"/>
    <mergeCell ref="L5:N5"/>
    <mergeCell ref="O5:Q5"/>
    <mergeCell ref="R5:T5"/>
    <mergeCell ref="G4:G5"/>
    <mergeCell ref="H4:H5"/>
    <mergeCell ref="I4:I5"/>
    <mergeCell ref="J4:J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B109:C109"/>
    <mergeCell ref="G109:H109"/>
    <mergeCell ref="V3:X3"/>
    <mergeCell ref="F4:F5"/>
    <mergeCell ref="G106:H106"/>
    <mergeCell ref="G107:H107"/>
    <mergeCell ref="G108:H108"/>
    <mergeCell ref="K4:K5"/>
    <mergeCell ref="V4:V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2018-03-13T08:57:04Z</cp:lastPrinted>
  <dcterms:created xsi:type="dcterms:W3CDTF">2003-07-28T11:27:56Z</dcterms:created>
  <dcterms:modified xsi:type="dcterms:W3CDTF">2018-03-13T09:30:26Z</dcterms:modified>
  <cp:category/>
  <cp:version/>
  <cp:contentType/>
  <cp:contentStatus/>
</cp:coreProperties>
</file>